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8.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9.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showInkAnnotation="0" codeName="ThisWorkbook" defaultThemeVersion="124226"/>
  <mc:AlternateContent xmlns:mc="http://schemas.openxmlformats.org/markup-compatibility/2006">
    <mc:Choice Requires="x15">
      <x15ac:absPath xmlns:x15ac="http://schemas.microsoft.com/office/spreadsheetml/2010/11/ac" url="C:\Users\Steve\Documents\Excel Experts\Crest\Penetration Testing\Done\"/>
    </mc:Choice>
  </mc:AlternateContent>
  <xr:revisionPtr revIDLastSave="0" documentId="13_ncr:1_{27214B08-E9A8-463A-BA7F-E5283265305C}" xr6:coauthVersionLast="47" xr6:coauthVersionMax="47" xr10:uidLastSave="{00000000-0000-0000-0000-000000000000}"/>
  <bookViews>
    <workbookView xWindow="-120" yWindow="-120" windowWidth="29040" windowHeight="15840" tabRatio="879" xr2:uid="{00000000-000D-0000-FFFF-FFFF00000000}"/>
  </bookViews>
  <sheets>
    <sheet name="Introduction" sheetId="44" r:id="rId1"/>
    <sheet name="Guidelines" sheetId="45" r:id="rId2"/>
    <sheet name="Profile and Scope" sheetId="30" r:id="rId3"/>
    <sheet name="Targets" sheetId="43" r:id="rId4"/>
    <sheet name="Weightings" sheetId="34" r:id="rId5"/>
    <sheet name="Aggregated Results" sheetId="22" r:id="rId6"/>
    <sheet name="Assess A" sheetId="52" r:id="rId7"/>
    <sheet name="Assess B" sheetId="63" r:id="rId8"/>
    <sheet name="Assess C" sheetId="64" r:id="rId9"/>
    <sheet name="Results A" sheetId="56" r:id="rId10"/>
    <sheet name="Results B" sheetId="65" r:id="rId11"/>
    <sheet name="Results C" sheetId="66" r:id="rId12"/>
    <sheet name="References" sheetId="20" state="veryHidden" r:id="rId13"/>
    <sheet name="MMAT Ref" sheetId="21" state="veryHidden" r:id="rId14"/>
    <sheet name="Content" sheetId="53" state="veryHidden" r:id="rId15"/>
  </sheets>
  <definedNames>
    <definedName name="_xlnm._FilterDatabase" localSheetId="6" hidden="1">'Assess A'!$C$2:$C$28</definedName>
    <definedName name="_xlnm._FilterDatabase" localSheetId="7" hidden="1">'Assess B'!$C$2:$C$28</definedName>
    <definedName name="_xlnm._FilterDatabase" localSheetId="8" hidden="1">'Assess C'!$C$2:$C$25</definedName>
    <definedName name="_xlnm._FilterDatabase" localSheetId="14" hidden="1">Content!$O$2:$O$72</definedName>
    <definedName name="_xlnm._FilterDatabase" localSheetId="2" hidden="1">'Profile and Scope'!$C$1:$C$27</definedName>
    <definedName name="_xlnm._FilterDatabase" localSheetId="9" hidden="1">'Results A'!$C$2:$C$28</definedName>
    <definedName name="_xlnm._FilterDatabase" localSheetId="10" hidden="1">'Results B'!$C$2:$C$35</definedName>
    <definedName name="_xlnm._FilterDatabase" localSheetId="11" hidden="1">'Results C'!$C$2:$C$25</definedName>
    <definedName name="_xlnm._FilterDatabase" localSheetId="4" hidden="1">Weightings!$C$1:$C$77</definedName>
    <definedName name="Aggregated_Maturity_Levels">OFFSET('Aggregated Results'!$B$4,0,0,COUNTA('Aggregated Results'!$B:$B),8)</definedName>
    <definedName name="Assess_A_Reference">OFFSET('Assess A'!$A$8,0,0,COUNTA('Assess A'!$A:$A),40)</definedName>
    <definedName name="Assess_B_Reference">OFFSET('Assess B'!$A$8,0,0,COUNTA('Assess B'!$A:$A),40)</definedName>
    <definedName name="Assess_C_Reference">OFFSET('Assess C'!$A$8,0,0,COUNTA('Assess C'!$A:$A),40)</definedName>
    <definedName name="Content_Headings">Content!$W$2:$X$7</definedName>
    <definedName name="contentref">Content!$A:$AD</definedName>
    <definedName name="contentrefmockup">Content!$A:$Y</definedName>
    <definedName name="Contents_Text">OFFSET(Content!$A$3,0,0,COUNTA(Content!$A:$A)-2,7)</definedName>
    <definedName name="detail_maturity_score">References!$B$4:$D$11</definedName>
    <definedName name="level_ref">Weightings!$R$4:$V$6</definedName>
    <definedName name="maturity_response_frame">References!$C$4:$C$11</definedName>
    <definedName name="MaturityLevelsTable">'Aggregated Results'!$AA$4:$AM$31</definedName>
    <definedName name="MMAT_Header_Text">OFFSET('MMAT Ref'!$A$2,0,0,COUNTA('MMAT Ref'!$A:$A),6)</definedName>
    <definedName name="MMAT_Results">OFFSET('MMAT Ref'!$Q$2,0,0,COUNTA('MMAT Ref'!$Q:$Q)-1,3)</definedName>
    <definedName name="MMAT_Text_Ref">OFFSET('MMAT Ref'!$AB$2,0,0,COUNTA('MMAT Ref'!$AB:$AB),3)</definedName>
    <definedName name="_xlnm.Print_Area" localSheetId="5">'Aggregated Results'!$D$1:$W$36</definedName>
    <definedName name="_xlnm.Print_Area" localSheetId="6">'Assess A'!$E$1:$Q$28</definedName>
    <definedName name="_xlnm.Print_Area" localSheetId="7">'Assess B'!$E$1:$Q$28</definedName>
    <definedName name="_xlnm.Print_Area" localSheetId="8">'Assess C'!$E$1:$Q$25</definedName>
    <definedName name="_xlnm.Print_Area" localSheetId="1">Guidelines!$A$1:$M$81</definedName>
    <definedName name="_xlnm.Print_Area" localSheetId="0">Introduction!$A$1:$M$77</definedName>
    <definedName name="_xlnm.Print_Area" localSheetId="2">'Profile and Scope'!$D$1:$H$27</definedName>
    <definedName name="_xlnm.Print_Area" localSheetId="9">'Results A'!$E$1:$I$28</definedName>
    <definedName name="_xlnm.Print_Area" localSheetId="10">'Results B'!$E$1:$I$35</definedName>
    <definedName name="_xlnm.Print_Area" localSheetId="11">'Results C'!$E$1:$I$25</definedName>
    <definedName name="_xlnm.Print_Area" localSheetId="3">Targets!$D$1:$S$32</definedName>
    <definedName name="_xlnm.Print_Area" localSheetId="4">Weightings!$E$1:$M$77</definedName>
    <definedName name="profile_business_unit">'Profile and Scope'!$F$14</definedName>
    <definedName name="profile_date_of_assessment">'Profile and Scope'!$F$26</definedName>
    <definedName name="profile_internal_pt_coordinator">'Profile and Scope'!$F$8</definedName>
    <definedName name="profile_name_of_organisation">'Profile and Scope'!$F$5</definedName>
    <definedName name="profile_pt_coordinator_role_or_position">'Profile and Scope'!$F$11</definedName>
    <definedName name="profile_sector">'Profile and Scope'!$J$17</definedName>
    <definedName name="profile_size_of_business">'Profile and Scope'!$J$20</definedName>
    <definedName name="profile_type_of_business">'Profile and Scope'!$J$23</definedName>
    <definedName name="Results_A_Reference">'Results A'!$B$8:$Z$1000</definedName>
    <definedName name="Results_B_Reference">'Results B'!$B$8:$Z$1000</definedName>
    <definedName name="Results_C_Reference">'Results C'!$B$8:$Z$1000</definedName>
    <definedName name="sector_responses">References!$F$4:$F$30</definedName>
    <definedName name="size_of_business_responses">References!$H$4:$H$8</definedName>
    <definedName name="targets_lookup">Targets!$B$4:$F$28</definedName>
    <definedName name="textref">'MMAT Ref'!$AB:$AD</definedName>
    <definedName name="Tool_Name">Introduction!$D$2</definedName>
    <definedName name="type_of_business_responses">References!$J$4:$J$9</definedName>
    <definedName name="weighting_response_reverse">References!$N$4:$O$8</definedName>
    <definedName name="weighting_responses">References!$L$4:$L$8</definedName>
    <definedName name="Weightings_Assessments">OFFSET(Weightings!$A$8,0,0,COUNTA(Weightings!$A:$A),26)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66" l="1"/>
  <c r="I21" i="66"/>
  <c r="I18" i="66"/>
  <c r="I15" i="66"/>
  <c r="I12" i="66"/>
  <c r="I9" i="66"/>
  <c r="I34" i="65"/>
  <c r="I31" i="65"/>
  <c r="I28" i="65"/>
  <c r="I25" i="65"/>
  <c r="I22" i="65"/>
  <c r="I18" i="65"/>
  <c r="I15" i="65"/>
  <c r="I12" i="65"/>
  <c r="I9" i="65"/>
  <c r="I27" i="56"/>
  <c r="I24" i="56"/>
  <c r="I21" i="56"/>
  <c r="I18" i="56"/>
  <c r="I15" i="56"/>
  <c r="I12" i="56"/>
  <c r="I9" i="56"/>
  <c r="AC26" i="21"/>
  <c r="AC25" i="21"/>
  <c r="AC24" i="21"/>
  <c r="AC23" i="21"/>
  <c r="AC22" i="21"/>
  <c r="AC21" i="21"/>
  <c r="AC20" i="21"/>
  <c r="AC19" i="21"/>
  <c r="AC18" i="21"/>
  <c r="AC17" i="21"/>
  <c r="AC16" i="21"/>
  <c r="AC15" i="21"/>
  <c r="AC14" i="21"/>
  <c r="AC13" i="21"/>
  <c r="AC12" i="21"/>
  <c r="AC11" i="21"/>
  <c r="AC10" i="21"/>
  <c r="AC9" i="21"/>
  <c r="AC8" i="21"/>
  <c r="AC7" i="21"/>
  <c r="AC6" i="21"/>
  <c r="AC5" i="21"/>
  <c r="AC4" i="21"/>
  <c r="AC3" i="21"/>
  <c r="AC2" i="21"/>
  <c r="V24" i="66"/>
  <c r="V23" i="66"/>
  <c r="V21" i="66"/>
  <c r="V20" i="66"/>
  <c r="V18" i="66"/>
  <c r="V17" i="66"/>
  <c r="V15" i="66"/>
  <c r="V14" i="66"/>
  <c r="V12" i="66"/>
  <c r="V11" i="66"/>
  <c r="V9" i="66"/>
  <c r="V8" i="66"/>
  <c r="V34" i="65"/>
  <c r="V33" i="65"/>
  <c r="V31" i="65"/>
  <c r="V30" i="65"/>
  <c r="V28" i="65"/>
  <c r="V27" i="65"/>
  <c r="V25" i="65"/>
  <c r="V24" i="65"/>
  <c r="V22" i="65"/>
  <c r="V21" i="65"/>
  <c r="V18" i="65"/>
  <c r="V17" i="65"/>
  <c r="V15" i="65"/>
  <c r="V14" i="65"/>
  <c r="V12" i="65"/>
  <c r="V11" i="65"/>
  <c r="V9" i="65"/>
  <c r="V8" i="65"/>
  <c r="V27" i="56"/>
  <c r="V26" i="56"/>
  <c r="V24" i="56"/>
  <c r="V23" i="56"/>
  <c r="V21" i="56"/>
  <c r="V20" i="56"/>
  <c r="V18" i="56"/>
  <c r="V17" i="56"/>
  <c r="V15" i="56"/>
  <c r="V14" i="56"/>
  <c r="V12" i="56"/>
  <c r="V11" i="56"/>
  <c r="V9" i="56"/>
  <c r="V8" i="56"/>
  <c r="W24" i="66"/>
  <c r="U24" i="66"/>
  <c r="W23" i="66"/>
  <c r="U23" i="66"/>
  <c r="W21" i="66"/>
  <c r="U21" i="66"/>
  <c r="W20" i="66"/>
  <c r="U20" i="66"/>
  <c r="W18" i="66"/>
  <c r="U18" i="66"/>
  <c r="W17" i="66"/>
  <c r="U17" i="66"/>
  <c r="W15" i="66"/>
  <c r="U15" i="66"/>
  <c r="W14" i="66"/>
  <c r="U14" i="66"/>
  <c r="W12" i="66"/>
  <c r="U12" i="66"/>
  <c r="W11" i="66"/>
  <c r="U11" i="66"/>
  <c r="W9" i="66"/>
  <c r="U9" i="66"/>
  <c r="W8" i="66"/>
  <c r="U8" i="66"/>
  <c r="W34" i="65"/>
  <c r="U34" i="65"/>
  <c r="W33" i="65"/>
  <c r="U33" i="65"/>
  <c r="W31" i="65"/>
  <c r="U31" i="65"/>
  <c r="W30" i="65"/>
  <c r="U30" i="65"/>
  <c r="W28" i="65"/>
  <c r="U28" i="65"/>
  <c r="W27" i="65"/>
  <c r="U27" i="65"/>
  <c r="W25" i="65"/>
  <c r="U25" i="65"/>
  <c r="W24" i="65"/>
  <c r="U24" i="65"/>
  <c r="W22" i="65"/>
  <c r="U22" i="65"/>
  <c r="W21" i="65"/>
  <c r="U21" i="65"/>
  <c r="W18" i="65"/>
  <c r="U18" i="65"/>
  <c r="W17" i="65"/>
  <c r="U17" i="65"/>
  <c r="W15" i="65"/>
  <c r="U15" i="65"/>
  <c r="W14" i="65"/>
  <c r="U14" i="65"/>
  <c r="W12" i="65"/>
  <c r="U12" i="65"/>
  <c r="W11" i="65"/>
  <c r="U11" i="65"/>
  <c r="W9" i="65"/>
  <c r="U9" i="65"/>
  <c r="W8" i="65"/>
  <c r="U8" i="65"/>
  <c r="W27" i="56"/>
  <c r="U27" i="56"/>
  <c r="W26" i="56"/>
  <c r="U26" i="56"/>
  <c r="W24" i="56"/>
  <c r="U24" i="56"/>
  <c r="W23" i="56"/>
  <c r="U23" i="56"/>
  <c r="W21" i="56"/>
  <c r="U21" i="56"/>
  <c r="W20" i="56"/>
  <c r="U20" i="56"/>
  <c r="W18" i="56"/>
  <c r="U18" i="56"/>
  <c r="W17" i="56"/>
  <c r="U17" i="56"/>
  <c r="W15" i="56"/>
  <c r="U15" i="56"/>
  <c r="W14" i="56"/>
  <c r="U14" i="56"/>
  <c r="W12" i="56"/>
  <c r="U12" i="56"/>
  <c r="W11" i="56"/>
  <c r="U11" i="56"/>
  <c r="W9" i="56"/>
  <c r="U9" i="56"/>
  <c r="W8" i="56"/>
  <c r="U8" i="56"/>
  <c r="F2" i="64"/>
  <c r="F2" i="63"/>
  <c r="F2" i="52"/>
  <c r="O23" i="64"/>
  <c r="O20" i="64"/>
  <c r="O17" i="64"/>
  <c r="O14" i="64"/>
  <c r="O11" i="64"/>
  <c r="O10" i="64"/>
  <c r="O8" i="64"/>
  <c r="O26" i="63"/>
  <c r="O23" i="63"/>
  <c r="O20" i="63"/>
  <c r="O17" i="63"/>
  <c r="O14" i="63"/>
  <c r="O11" i="63"/>
  <c r="O10" i="63"/>
  <c r="O8" i="63"/>
  <c r="O26" i="52"/>
  <c r="O23" i="52"/>
  <c r="O20" i="52"/>
  <c r="O17" i="52"/>
  <c r="O14" i="52"/>
  <c r="O11" i="52"/>
  <c r="O10" i="52"/>
  <c r="O8" i="52"/>
  <c r="F3" i="43"/>
  <c r="C3" i="43"/>
  <c r="D1" i="22"/>
  <c r="E1" i="30"/>
  <c r="D2" i="45"/>
  <c r="L4" i="21"/>
  <c r="M4" i="21" s="1"/>
  <c r="L3" i="21"/>
  <c r="M3" i="21" s="1"/>
  <c r="L2" i="21"/>
  <c r="M2" i="21" s="1"/>
  <c r="AM21" i="22" l="1"/>
  <c r="AM22" i="22"/>
  <c r="AM23" i="22"/>
  <c r="AM24" i="22"/>
  <c r="AM25" i="22"/>
  <c r="AM20" i="22"/>
  <c r="F25" i="66" l="1"/>
  <c r="F24" i="66"/>
  <c r="F23" i="66"/>
  <c r="F22" i="66"/>
  <c r="F21" i="66"/>
  <c r="F20" i="66"/>
  <c r="F19" i="66"/>
  <c r="F18" i="66"/>
  <c r="F17" i="66"/>
  <c r="F16" i="66"/>
  <c r="F15" i="66"/>
  <c r="F14" i="66"/>
  <c r="F13" i="66"/>
  <c r="F12" i="66"/>
  <c r="F11" i="66"/>
  <c r="F10" i="66"/>
  <c r="F9" i="66"/>
  <c r="F8" i="66"/>
  <c r="F2" i="66"/>
  <c r="F35" i="65"/>
  <c r="F34" i="65"/>
  <c r="F33" i="65"/>
  <c r="F32" i="65"/>
  <c r="F31" i="65"/>
  <c r="F30" i="65"/>
  <c r="F29" i="65"/>
  <c r="F28" i="65"/>
  <c r="F27" i="65"/>
  <c r="F26" i="65"/>
  <c r="F25" i="65"/>
  <c r="F24" i="65"/>
  <c r="F23" i="65"/>
  <c r="F22" i="65"/>
  <c r="F21" i="65"/>
  <c r="F20" i="65"/>
  <c r="F19" i="65"/>
  <c r="F18" i="65"/>
  <c r="F17" i="65"/>
  <c r="F16" i="65"/>
  <c r="F15" i="65"/>
  <c r="F14" i="65"/>
  <c r="F13" i="65"/>
  <c r="F12" i="65"/>
  <c r="F11" i="65"/>
  <c r="F10" i="65"/>
  <c r="F9" i="65"/>
  <c r="F8" i="65"/>
  <c r="F2" i="65"/>
  <c r="F25" i="64"/>
  <c r="F24" i="64"/>
  <c r="F23" i="64"/>
  <c r="F22" i="64"/>
  <c r="F21" i="64"/>
  <c r="F20" i="64"/>
  <c r="F19" i="64"/>
  <c r="F18" i="64"/>
  <c r="F17" i="64"/>
  <c r="F16" i="64"/>
  <c r="F15" i="64"/>
  <c r="F14" i="64"/>
  <c r="F13" i="64"/>
  <c r="F12" i="64"/>
  <c r="F11" i="64"/>
  <c r="F10" i="64"/>
  <c r="F9" i="64"/>
  <c r="F8" i="64"/>
  <c r="F35" i="63"/>
  <c r="F34" i="63"/>
  <c r="F33" i="63"/>
  <c r="F32" i="63"/>
  <c r="F31" i="63"/>
  <c r="F30" i="63"/>
  <c r="F29" i="63"/>
  <c r="F28" i="63"/>
  <c r="F27" i="63"/>
  <c r="F26" i="63"/>
  <c r="F25" i="63"/>
  <c r="F24" i="63"/>
  <c r="F23" i="63"/>
  <c r="F22" i="63"/>
  <c r="F21" i="63"/>
  <c r="F20" i="63"/>
  <c r="F19" i="63"/>
  <c r="F18" i="63"/>
  <c r="F17" i="63"/>
  <c r="F16" i="63"/>
  <c r="F15" i="63"/>
  <c r="F14" i="63"/>
  <c r="F13" i="63"/>
  <c r="F12" i="63"/>
  <c r="F11" i="63"/>
  <c r="F10" i="63"/>
  <c r="F9" i="63"/>
  <c r="F8" i="63"/>
  <c r="Y26" i="21"/>
  <c r="Z26" i="21"/>
  <c r="AD26" i="21"/>
  <c r="I58" i="53"/>
  <c r="J58" i="53"/>
  <c r="K58" i="53"/>
  <c r="L58" i="53"/>
  <c r="M58" i="53"/>
  <c r="N58" i="53"/>
  <c r="Q58" i="53"/>
  <c r="AB26" i="21" l="1"/>
  <c r="O58" i="53"/>
  <c r="AL12" i="22"/>
  <c r="AL13" i="22"/>
  <c r="AL14" i="22"/>
  <c r="AL15" i="22"/>
  <c r="AL16" i="22"/>
  <c r="AL17" i="22"/>
  <c r="AL18" i="22"/>
  <c r="AL19" i="22"/>
  <c r="AK8" i="22"/>
  <c r="AK9" i="22"/>
  <c r="AK10" i="22"/>
  <c r="F9" i="43"/>
  <c r="F15" i="43"/>
  <c r="F28" i="56"/>
  <c r="F27" i="56"/>
  <c r="F26" i="56"/>
  <c r="F25" i="56"/>
  <c r="F24" i="56"/>
  <c r="F23" i="56"/>
  <c r="F21" i="56"/>
  <c r="F19" i="56"/>
  <c r="F16" i="56"/>
  <c r="F15" i="56"/>
  <c r="F13" i="56"/>
  <c r="F12" i="56"/>
  <c r="F11" i="56"/>
  <c r="F8" i="56"/>
  <c r="E15" i="43" l="1"/>
  <c r="H15" i="65"/>
  <c r="E9" i="43"/>
  <c r="H21" i="56"/>
  <c r="R58" i="53"/>
  <c r="B58" i="53" s="1"/>
  <c r="C11" i="64"/>
  <c r="E11" i="64" s="1"/>
  <c r="C11" i="66"/>
  <c r="I15" i="22"/>
  <c r="H15" i="22" s="1"/>
  <c r="I9" i="22"/>
  <c r="H9" i="22" s="1"/>
  <c r="Y11" i="66" l="1"/>
  <c r="E11" i="66"/>
  <c r="B11" i="64"/>
  <c r="B11" i="66"/>
  <c r="L11" i="66" s="1"/>
  <c r="F28" i="43"/>
  <c r="H24" i="66" s="1"/>
  <c r="F27" i="43"/>
  <c r="H21" i="66" s="1"/>
  <c r="F26" i="43"/>
  <c r="H18" i="66" s="1"/>
  <c r="F25" i="43"/>
  <c r="H15" i="66" s="1"/>
  <c r="F24" i="43"/>
  <c r="H12" i="66" s="1"/>
  <c r="F23" i="43"/>
  <c r="H9" i="66" s="1"/>
  <c r="F21" i="43"/>
  <c r="H34" i="65" s="1"/>
  <c r="F20" i="43"/>
  <c r="H31" i="65" s="1"/>
  <c r="F19" i="43"/>
  <c r="H28" i="65" s="1"/>
  <c r="F18" i="43"/>
  <c r="H25" i="65" s="1"/>
  <c r="F17" i="43"/>
  <c r="H22" i="65" s="1"/>
  <c r="F16" i="43"/>
  <c r="H18" i="65" s="1"/>
  <c r="F14" i="43"/>
  <c r="H12" i="65" s="1"/>
  <c r="F13" i="43"/>
  <c r="H9" i="65" s="1"/>
  <c r="F11" i="43"/>
  <c r="H27" i="56" s="1"/>
  <c r="F10" i="43"/>
  <c r="H24" i="56" s="1"/>
  <c r="F8" i="43"/>
  <c r="H18" i="56" s="1"/>
  <c r="F7" i="43"/>
  <c r="H15" i="56" s="1"/>
  <c r="F6" i="43"/>
  <c r="H12" i="56" s="1"/>
  <c r="F5" i="43"/>
  <c r="H9" i="56" s="1"/>
  <c r="Q72" i="53" l="1"/>
  <c r="N72" i="53"/>
  <c r="M72" i="53"/>
  <c r="L72" i="53"/>
  <c r="K72" i="53"/>
  <c r="J72" i="53"/>
  <c r="I72" i="53"/>
  <c r="Q71" i="53"/>
  <c r="N71" i="53"/>
  <c r="M71" i="53"/>
  <c r="L71" i="53"/>
  <c r="K71" i="53"/>
  <c r="J71" i="53"/>
  <c r="I71" i="53"/>
  <c r="Q70" i="53"/>
  <c r="N70" i="53"/>
  <c r="M70" i="53"/>
  <c r="L70" i="53"/>
  <c r="K70" i="53"/>
  <c r="J70" i="53"/>
  <c r="I70" i="53"/>
  <c r="Q69" i="53"/>
  <c r="N69" i="53"/>
  <c r="M69" i="53"/>
  <c r="L69" i="53"/>
  <c r="K69" i="53"/>
  <c r="J69" i="53"/>
  <c r="I69" i="53"/>
  <c r="Q68" i="53"/>
  <c r="N68" i="53"/>
  <c r="M68" i="53"/>
  <c r="L68" i="53"/>
  <c r="K68" i="53"/>
  <c r="J68" i="53"/>
  <c r="I68" i="53"/>
  <c r="Q67" i="53"/>
  <c r="N67" i="53"/>
  <c r="M67" i="53"/>
  <c r="L67" i="53"/>
  <c r="K67" i="53"/>
  <c r="J67" i="53"/>
  <c r="I67" i="53"/>
  <c r="Q66" i="53"/>
  <c r="N66" i="53"/>
  <c r="M66" i="53"/>
  <c r="L66" i="53"/>
  <c r="K66" i="53"/>
  <c r="J66" i="53"/>
  <c r="I66" i="53"/>
  <c r="Q65" i="53"/>
  <c r="N65" i="53"/>
  <c r="M65" i="53"/>
  <c r="L65" i="53"/>
  <c r="K65" i="53"/>
  <c r="J65" i="53"/>
  <c r="I65" i="53"/>
  <c r="Q64" i="53"/>
  <c r="N64" i="53"/>
  <c r="M64" i="53"/>
  <c r="L64" i="53"/>
  <c r="K64" i="53"/>
  <c r="J64" i="53"/>
  <c r="I64" i="53"/>
  <c r="Q63" i="53"/>
  <c r="N63" i="53"/>
  <c r="M63" i="53"/>
  <c r="L63" i="53"/>
  <c r="K63" i="53"/>
  <c r="J63" i="53"/>
  <c r="I63" i="53"/>
  <c r="Q62" i="53"/>
  <c r="N62" i="53"/>
  <c r="M62" i="53"/>
  <c r="L62" i="53"/>
  <c r="K62" i="53"/>
  <c r="J62" i="53"/>
  <c r="I62" i="53"/>
  <c r="Q61" i="53"/>
  <c r="N61" i="53"/>
  <c r="M61" i="53"/>
  <c r="L61" i="53"/>
  <c r="K61" i="53"/>
  <c r="J61" i="53"/>
  <c r="I61" i="53"/>
  <c r="Q60" i="53"/>
  <c r="N60" i="53"/>
  <c r="M60" i="53"/>
  <c r="L60" i="53"/>
  <c r="K60" i="53"/>
  <c r="J60" i="53"/>
  <c r="I60" i="53"/>
  <c r="Q59" i="53"/>
  <c r="N59" i="53"/>
  <c r="M59" i="53"/>
  <c r="L59" i="53"/>
  <c r="K59" i="53"/>
  <c r="J59" i="53"/>
  <c r="I59" i="53"/>
  <c r="Q57" i="53"/>
  <c r="N57" i="53"/>
  <c r="M57" i="53"/>
  <c r="L57" i="53"/>
  <c r="K57" i="53"/>
  <c r="J57" i="53"/>
  <c r="I57" i="53"/>
  <c r="Q56" i="53"/>
  <c r="N56" i="53"/>
  <c r="M56" i="53"/>
  <c r="L56" i="53"/>
  <c r="K56" i="53"/>
  <c r="J56" i="53"/>
  <c r="I56" i="53"/>
  <c r="Q55" i="53"/>
  <c r="N55" i="53"/>
  <c r="M55" i="53"/>
  <c r="L55" i="53"/>
  <c r="K55" i="53"/>
  <c r="J55" i="53"/>
  <c r="I55" i="53"/>
  <c r="Q54" i="53"/>
  <c r="N54" i="53"/>
  <c r="M54" i="53"/>
  <c r="L54" i="53"/>
  <c r="K54" i="53"/>
  <c r="J54" i="53"/>
  <c r="I54" i="53"/>
  <c r="Q53" i="53"/>
  <c r="N53" i="53"/>
  <c r="M53" i="53"/>
  <c r="L53" i="53"/>
  <c r="K53" i="53"/>
  <c r="J53" i="53"/>
  <c r="I53" i="53"/>
  <c r="Q52" i="53"/>
  <c r="N52" i="53"/>
  <c r="M52" i="53"/>
  <c r="L52" i="53"/>
  <c r="K52" i="53"/>
  <c r="J52" i="53"/>
  <c r="I52" i="53"/>
  <c r="Q51" i="53"/>
  <c r="N51" i="53"/>
  <c r="M51" i="53"/>
  <c r="L51" i="53"/>
  <c r="K51" i="53"/>
  <c r="J51" i="53"/>
  <c r="I51" i="53"/>
  <c r="Q50" i="53"/>
  <c r="N50" i="53"/>
  <c r="M50" i="53"/>
  <c r="L50" i="53"/>
  <c r="K50" i="53"/>
  <c r="J50" i="53"/>
  <c r="I50" i="53"/>
  <c r="Q49" i="53"/>
  <c r="N49" i="53"/>
  <c r="M49" i="53"/>
  <c r="L49" i="53"/>
  <c r="K49" i="53"/>
  <c r="J49" i="53"/>
  <c r="I49" i="53"/>
  <c r="Q48" i="53"/>
  <c r="N48" i="53"/>
  <c r="M48" i="53"/>
  <c r="L48" i="53"/>
  <c r="K48" i="53"/>
  <c r="J48" i="53"/>
  <c r="I48" i="53"/>
  <c r="Q47" i="53"/>
  <c r="N47" i="53"/>
  <c r="M47" i="53"/>
  <c r="L47" i="53"/>
  <c r="K47" i="53"/>
  <c r="J47" i="53"/>
  <c r="I47" i="53"/>
  <c r="Q46" i="53"/>
  <c r="N46" i="53"/>
  <c r="M46" i="53"/>
  <c r="L46" i="53"/>
  <c r="K46" i="53"/>
  <c r="J46" i="53"/>
  <c r="I46" i="53"/>
  <c r="Q45" i="53"/>
  <c r="N45" i="53"/>
  <c r="M45" i="53"/>
  <c r="L45" i="53"/>
  <c r="K45" i="53"/>
  <c r="J45" i="53"/>
  <c r="I45" i="53"/>
  <c r="Q44" i="53"/>
  <c r="N44" i="53"/>
  <c r="M44" i="53"/>
  <c r="L44" i="53"/>
  <c r="K44" i="53"/>
  <c r="J44" i="53"/>
  <c r="I44" i="53"/>
  <c r="Q43" i="53"/>
  <c r="N43" i="53"/>
  <c r="M43" i="53"/>
  <c r="L43" i="53"/>
  <c r="K43" i="53"/>
  <c r="J43" i="53"/>
  <c r="I43" i="53"/>
  <c r="Q42" i="53"/>
  <c r="N42" i="53"/>
  <c r="M42" i="53"/>
  <c r="L42" i="53"/>
  <c r="K42" i="53"/>
  <c r="J42" i="53"/>
  <c r="I42" i="53"/>
  <c r="Q41" i="53"/>
  <c r="N41" i="53"/>
  <c r="M41" i="53"/>
  <c r="L41" i="53"/>
  <c r="K41" i="53"/>
  <c r="J41" i="53"/>
  <c r="I41" i="53"/>
  <c r="Q40" i="53"/>
  <c r="N40" i="53"/>
  <c r="M40" i="53"/>
  <c r="L40" i="53"/>
  <c r="K40" i="53"/>
  <c r="J40" i="53"/>
  <c r="I40" i="53"/>
  <c r="Q39" i="53"/>
  <c r="N39" i="53"/>
  <c r="M39" i="53"/>
  <c r="L39" i="53"/>
  <c r="K39" i="53"/>
  <c r="J39" i="53"/>
  <c r="I39" i="53"/>
  <c r="Q38" i="53"/>
  <c r="N38" i="53"/>
  <c r="M38" i="53"/>
  <c r="L38" i="53"/>
  <c r="K38" i="53"/>
  <c r="J38" i="53"/>
  <c r="I38" i="53"/>
  <c r="Q37" i="53"/>
  <c r="N37" i="53"/>
  <c r="M37" i="53"/>
  <c r="L37" i="53"/>
  <c r="K37" i="53"/>
  <c r="J37" i="53"/>
  <c r="I37" i="53"/>
  <c r="Q36" i="53"/>
  <c r="N36" i="53"/>
  <c r="M36" i="53"/>
  <c r="L36" i="53"/>
  <c r="K36" i="53"/>
  <c r="J36" i="53"/>
  <c r="I36" i="53"/>
  <c r="Q35" i="53"/>
  <c r="N35" i="53"/>
  <c r="M35" i="53"/>
  <c r="L35" i="53"/>
  <c r="K35" i="53"/>
  <c r="J35" i="53"/>
  <c r="I35" i="53"/>
  <c r="Q34" i="53"/>
  <c r="N34" i="53"/>
  <c r="M34" i="53"/>
  <c r="L34" i="53"/>
  <c r="K34" i="53"/>
  <c r="J34" i="53"/>
  <c r="I34" i="53"/>
  <c r="Q33" i="53"/>
  <c r="N33" i="53"/>
  <c r="M33" i="53"/>
  <c r="L33" i="53"/>
  <c r="K33" i="53"/>
  <c r="J33" i="53"/>
  <c r="I33" i="53"/>
  <c r="Q32" i="53"/>
  <c r="N32" i="53"/>
  <c r="M32" i="53"/>
  <c r="L32" i="53"/>
  <c r="K32" i="53"/>
  <c r="J32" i="53"/>
  <c r="I32" i="53"/>
  <c r="Q31" i="53"/>
  <c r="N31" i="53"/>
  <c r="M31" i="53"/>
  <c r="L31" i="53"/>
  <c r="K31" i="53"/>
  <c r="J31" i="53"/>
  <c r="I31" i="53"/>
  <c r="Q30" i="53"/>
  <c r="N30" i="53"/>
  <c r="M30" i="53"/>
  <c r="L30" i="53"/>
  <c r="K30" i="53"/>
  <c r="J30" i="53"/>
  <c r="I30" i="53"/>
  <c r="Q29" i="53"/>
  <c r="N29" i="53"/>
  <c r="M29" i="53"/>
  <c r="L29" i="53"/>
  <c r="K29" i="53"/>
  <c r="J29" i="53"/>
  <c r="I29" i="53"/>
  <c r="Q28" i="53"/>
  <c r="N28" i="53"/>
  <c r="M28" i="53"/>
  <c r="L28" i="53"/>
  <c r="K28" i="53"/>
  <c r="J28" i="53"/>
  <c r="I28" i="53"/>
  <c r="Q27" i="53"/>
  <c r="N27" i="53"/>
  <c r="M27" i="53"/>
  <c r="L27" i="53"/>
  <c r="K27" i="53"/>
  <c r="J27" i="53"/>
  <c r="I27" i="53"/>
  <c r="Q26" i="53"/>
  <c r="N26" i="53"/>
  <c r="M26" i="53"/>
  <c r="L26" i="53"/>
  <c r="K26" i="53"/>
  <c r="J26" i="53"/>
  <c r="I26" i="53"/>
  <c r="Q25" i="53"/>
  <c r="N25" i="53"/>
  <c r="M25" i="53"/>
  <c r="L25" i="53"/>
  <c r="K25" i="53"/>
  <c r="J25" i="53"/>
  <c r="I25" i="53"/>
  <c r="Q24" i="53"/>
  <c r="N24" i="53"/>
  <c r="M24" i="53"/>
  <c r="L24" i="53"/>
  <c r="K24" i="53"/>
  <c r="J24" i="53"/>
  <c r="I24" i="53"/>
  <c r="Q23" i="53"/>
  <c r="N23" i="53"/>
  <c r="M23" i="53"/>
  <c r="L23" i="53"/>
  <c r="K23" i="53"/>
  <c r="J23" i="53"/>
  <c r="I23" i="53"/>
  <c r="Q22" i="53"/>
  <c r="N22" i="53"/>
  <c r="M22" i="53"/>
  <c r="L22" i="53"/>
  <c r="K22" i="53"/>
  <c r="J22" i="53"/>
  <c r="I22" i="53"/>
  <c r="Q21" i="53"/>
  <c r="N21" i="53"/>
  <c r="M21" i="53"/>
  <c r="L21" i="53"/>
  <c r="K21" i="53"/>
  <c r="J21" i="53"/>
  <c r="I21" i="53"/>
  <c r="Q20" i="53"/>
  <c r="N20" i="53"/>
  <c r="M20" i="53"/>
  <c r="L20" i="53"/>
  <c r="K20" i="53"/>
  <c r="J20" i="53"/>
  <c r="I20" i="53"/>
  <c r="Q19" i="53"/>
  <c r="N19" i="53"/>
  <c r="M19" i="53"/>
  <c r="L19" i="53"/>
  <c r="K19" i="53"/>
  <c r="J19" i="53"/>
  <c r="I19" i="53"/>
  <c r="Q18" i="53"/>
  <c r="N18" i="53"/>
  <c r="M18" i="53"/>
  <c r="L18" i="53"/>
  <c r="K18" i="53"/>
  <c r="J18" i="53"/>
  <c r="I18" i="53"/>
  <c r="Q17" i="53"/>
  <c r="N17" i="53"/>
  <c r="M17" i="53"/>
  <c r="L17" i="53"/>
  <c r="K17" i="53"/>
  <c r="J17" i="53"/>
  <c r="I17" i="53"/>
  <c r="Q16" i="53"/>
  <c r="N16" i="53"/>
  <c r="M16" i="53"/>
  <c r="L16" i="53"/>
  <c r="K16" i="53"/>
  <c r="J16" i="53"/>
  <c r="I16" i="53"/>
  <c r="Q15" i="53"/>
  <c r="N15" i="53"/>
  <c r="M15" i="53"/>
  <c r="L15" i="53"/>
  <c r="K15" i="53"/>
  <c r="J15" i="53"/>
  <c r="I15" i="53"/>
  <c r="Q14" i="53"/>
  <c r="N14" i="53"/>
  <c r="M14" i="53"/>
  <c r="L14" i="53"/>
  <c r="K14" i="53"/>
  <c r="J14" i="53"/>
  <c r="I14" i="53"/>
  <c r="Q13" i="53"/>
  <c r="N13" i="53"/>
  <c r="M13" i="53"/>
  <c r="L13" i="53"/>
  <c r="K13" i="53"/>
  <c r="J13" i="53"/>
  <c r="I13" i="53"/>
  <c r="Q12" i="53"/>
  <c r="N12" i="53"/>
  <c r="M12" i="53"/>
  <c r="L12" i="53"/>
  <c r="K12" i="53"/>
  <c r="J12" i="53"/>
  <c r="I12" i="53"/>
  <c r="Q11" i="53"/>
  <c r="N11" i="53"/>
  <c r="M11" i="53"/>
  <c r="L11" i="53"/>
  <c r="K11" i="53"/>
  <c r="J11" i="53"/>
  <c r="I11" i="53"/>
  <c r="Q10" i="53"/>
  <c r="N10" i="53"/>
  <c r="M10" i="53"/>
  <c r="L10" i="53"/>
  <c r="K10" i="53"/>
  <c r="J10" i="53"/>
  <c r="I10" i="53"/>
  <c r="Q9" i="53"/>
  <c r="N9" i="53"/>
  <c r="M9" i="53"/>
  <c r="L9" i="53"/>
  <c r="K9" i="53"/>
  <c r="J9" i="53"/>
  <c r="I9" i="53"/>
  <c r="Q8" i="53"/>
  <c r="N8" i="53"/>
  <c r="M8" i="53"/>
  <c r="L8" i="53"/>
  <c r="K8" i="53"/>
  <c r="J8" i="53"/>
  <c r="I8" i="53"/>
  <c r="Q7" i="53"/>
  <c r="N7" i="53"/>
  <c r="M7" i="53"/>
  <c r="L7" i="53"/>
  <c r="K7" i="53"/>
  <c r="J7" i="53"/>
  <c r="I7" i="53"/>
  <c r="Q6" i="53"/>
  <c r="N6" i="53"/>
  <c r="M6" i="53"/>
  <c r="L6" i="53"/>
  <c r="K6" i="53"/>
  <c r="J6" i="53"/>
  <c r="I6" i="53"/>
  <c r="Q5" i="53"/>
  <c r="N5" i="53"/>
  <c r="M5" i="53"/>
  <c r="L5" i="53"/>
  <c r="K5" i="53"/>
  <c r="J5" i="53"/>
  <c r="I5" i="53"/>
  <c r="Q4" i="53"/>
  <c r="N4" i="53"/>
  <c r="M4" i="53"/>
  <c r="L4" i="53"/>
  <c r="K4" i="53"/>
  <c r="J4" i="53"/>
  <c r="I4" i="53"/>
  <c r="O20" i="53" l="1"/>
  <c r="O60" i="53"/>
  <c r="O52" i="53"/>
  <c r="O67" i="53"/>
  <c r="O49" i="53"/>
  <c r="O44" i="53"/>
  <c r="O50" i="53"/>
  <c r="O41" i="53"/>
  <c r="O14" i="53"/>
  <c r="O15" i="53"/>
  <c r="O16" i="53"/>
  <c r="O23" i="53"/>
  <c r="O28" i="53"/>
  <c r="O39" i="53"/>
  <c r="O30" i="53"/>
  <c r="O36" i="53"/>
  <c r="O4" i="53"/>
  <c r="O12" i="53"/>
  <c r="O13" i="53"/>
  <c r="O21" i="53"/>
  <c r="O11" i="53"/>
  <c r="O61" i="53"/>
  <c r="O62" i="53"/>
  <c r="O69" i="53"/>
  <c r="O5" i="53"/>
  <c r="O22" i="53"/>
  <c r="O24" i="53"/>
  <c r="O31" i="53"/>
  <c r="O59" i="53"/>
  <c r="O68" i="53"/>
  <c r="O70" i="53"/>
  <c r="O32" i="53"/>
  <c r="O19" i="53"/>
  <c r="O29" i="53"/>
  <c r="O38" i="53"/>
  <c r="O40" i="53"/>
  <c r="O57" i="53"/>
  <c r="O10" i="53"/>
  <c r="O18" i="53"/>
  <c r="O27" i="53"/>
  <c r="O37" i="53"/>
  <c r="O46" i="53"/>
  <c r="O47" i="53"/>
  <c r="O48" i="53"/>
  <c r="O55" i="53"/>
  <c r="O66" i="53"/>
  <c r="O9" i="53"/>
  <c r="O26" i="53"/>
  <c r="O35" i="53"/>
  <c r="O54" i="53"/>
  <c r="R54" i="53" s="1"/>
  <c r="O56" i="53"/>
  <c r="O64" i="53"/>
  <c r="O7" i="53"/>
  <c r="O17" i="53"/>
  <c r="O34" i="53"/>
  <c r="O43" i="53"/>
  <c r="O45" i="53"/>
  <c r="O63" i="53"/>
  <c r="O65" i="53"/>
  <c r="O72" i="53"/>
  <c r="O6" i="53"/>
  <c r="O8" i="53"/>
  <c r="O25" i="53"/>
  <c r="R25" i="53" s="1"/>
  <c r="O33" i="53"/>
  <c r="O42" i="53"/>
  <c r="O51" i="53"/>
  <c r="O53" i="53"/>
  <c r="O71" i="53"/>
  <c r="R33" i="53" l="1"/>
  <c r="C15" i="65"/>
  <c r="R27" i="53"/>
  <c r="C9" i="65"/>
  <c r="R36" i="53"/>
  <c r="C18" i="65"/>
  <c r="R50" i="53"/>
  <c r="C32" i="65"/>
  <c r="C32" i="63"/>
  <c r="R32" i="53"/>
  <c r="C14" i="65"/>
  <c r="R41" i="53"/>
  <c r="C23" i="65"/>
  <c r="R30" i="53"/>
  <c r="C12" i="65"/>
  <c r="R66" i="53"/>
  <c r="C19" i="64"/>
  <c r="C19" i="66"/>
  <c r="R44" i="53"/>
  <c r="C26" i="65"/>
  <c r="R55" i="53"/>
  <c r="C8" i="66"/>
  <c r="C8" i="64"/>
  <c r="E8" i="64" s="1"/>
  <c r="R72" i="53"/>
  <c r="C25" i="66"/>
  <c r="C25" i="64"/>
  <c r="R40" i="53"/>
  <c r="C22" i="65"/>
  <c r="R67" i="53"/>
  <c r="C20" i="66"/>
  <c r="C20" i="64"/>
  <c r="E20" i="64" s="1"/>
  <c r="R26" i="53"/>
  <c r="C8" i="65"/>
  <c r="R69" i="53"/>
  <c r="C22" i="66"/>
  <c r="C22" i="64"/>
  <c r="R34" i="53"/>
  <c r="C16" i="65"/>
  <c r="R70" i="53"/>
  <c r="C23" i="66"/>
  <c r="C23" i="64"/>
  <c r="E23" i="64" s="1"/>
  <c r="R68" i="53"/>
  <c r="C21" i="66"/>
  <c r="C21" i="64"/>
  <c r="R61" i="53"/>
  <c r="B61" i="53" s="1"/>
  <c r="C14" i="66"/>
  <c r="C14" i="64"/>
  <c r="E14" i="64" s="1"/>
  <c r="R59" i="53"/>
  <c r="B59" i="53" s="1"/>
  <c r="C12" i="66"/>
  <c r="C12" i="64"/>
  <c r="R49" i="53"/>
  <c r="C31" i="65"/>
  <c r="C31" i="63"/>
  <c r="R65" i="53"/>
  <c r="C18" i="66"/>
  <c r="C18" i="64"/>
  <c r="R52" i="53"/>
  <c r="C34" i="63"/>
  <c r="C34" i="65"/>
  <c r="R43" i="53"/>
  <c r="C25" i="65"/>
  <c r="R62" i="53"/>
  <c r="C15" i="64"/>
  <c r="C15" i="66"/>
  <c r="R39" i="53"/>
  <c r="C21" i="65"/>
  <c r="R57" i="53"/>
  <c r="B57" i="53" s="1"/>
  <c r="C10" i="66"/>
  <c r="C10" i="64"/>
  <c r="R28" i="53"/>
  <c r="C10" i="65"/>
  <c r="R71" i="53"/>
  <c r="C24" i="66"/>
  <c r="C24" i="64"/>
  <c r="R64" i="53"/>
  <c r="C17" i="64"/>
  <c r="E17" i="64" s="1"/>
  <c r="C17" i="66"/>
  <c r="R48" i="53"/>
  <c r="C30" i="65"/>
  <c r="C30" i="63"/>
  <c r="E30" i="63" s="1"/>
  <c r="R31" i="53"/>
  <c r="C13" i="65"/>
  <c r="R53" i="53"/>
  <c r="C35" i="65"/>
  <c r="C35" i="63"/>
  <c r="R56" i="53"/>
  <c r="C9" i="64"/>
  <c r="C9" i="66"/>
  <c r="R47" i="53"/>
  <c r="C29" i="65"/>
  <c r="C29" i="63"/>
  <c r="R38" i="53"/>
  <c r="C20" i="65"/>
  <c r="R51" i="53"/>
  <c r="C33" i="65"/>
  <c r="C33" i="63"/>
  <c r="E33" i="63" s="1"/>
  <c r="R63" i="53"/>
  <c r="C16" i="66"/>
  <c r="C16" i="64"/>
  <c r="R46" i="53"/>
  <c r="C28" i="65"/>
  <c r="R29" i="53"/>
  <c r="C11" i="65"/>
  <c r="R60" i="53"/>
  <c r="C13" i="66"/>
  <c r="C13" i="64"/>
  <c r="R42" i="53"/>
  <c r="C24" i="65"/>
  <c r="R45" i="53"/>
  <c r="C27" i="65"/>
  <c r="R35" i="53"/>
  <c r="C17" i="65"/>
  <c r="R37" i="53"/>
  <c r="C19" i="65"/>
  <c r="R8" i="53"/>
  <c r="C12" i="63"/>
  <c r="R17" i="53"/>
  <c r="C21" i="63"/>
  <c r="R10" i="53"/>
  <c r="C14" i="63"/>
  <c r="E14" i="63" s="1"/>
  <c r="R18" i="53"/>
  <c r="C22" i="63"/>
  <c r="R6" i="53"/>
  <c r="C10" i="63"/>
  <c r="R21" i="53"/>
  <c r="C25" i="63"/>
  <c r="R23" i="53"/>
  <c r="C27" i="63"/>
  <c r="R9" i="53"/>
  <c r="C13" i="63"/>
  <c r="R11" i="53"/>
  <c r="C15" i="63"/>
  <c r="R24" i="53"/>
  <c r="C28" i="63"/>
  <c r="R13" i="53"/>
  <c r="C17" i="63"/>
  <c r="E17" i="63" s="1"/>
  <c r="R16" i="53"/>
  <c r="C20" i="63"/>
  <c r="R22" i="53"/>
  <c r="C26" i="63"/>
  <c r="R12" i="53"/>
  <c r="C16" i="63"/>
  <c r="R15" i="53"/>
  <c r="C19" i="63"/>
  <c r="R7" i="53"/>
  <c r="C11" i="63"/>
  <c r="E11" i="63" s="1"/>
  <c r="R19" i="53"/>
  <c r="C23" i="63"/>
  <c r="R5" i="53"/>
  <c r="C9" i="63"/>
  <c r="R4" i="53"/>
  <c r="C8" i="63"/>
  <c r="E8" i="63" s="1"/>
  <c r="R14" i="53"/>
  <c r="C18" i="63"/>
  <c r="R20" i="53"/>
  <c r="C24" i="63"/>
  <c r="AL11" i="22"/>
  <c r="AK5" i="22"/>
  <c r="AK6" i="22"/>
  <c r="AK7" i="22"/>
  <c r="AK4" i="22"/>
  <c r="B12" i="66" l="1"/>
  <c r="B12" i="64"/>
  <c r="Y23" i="66"/>
  <c r="E23" i="66"/>
  <c r="E11" i="65"/>
  <c r="Y11" i="65"/>
  <c r="Y33" i="65"/>
  <c r="E33" i="65"/>
  <c r="Y30" i="65"/>
  <c r="E30" i="65"/>
  <c r="Y17" i="66"/>
  <c r="E17" i="66"/>
  <c r="B14" i="64"/>
  <c r="B14" i="66"/>
  <c r="L14" i="66" s="1"/>
  <c r="Y17" i="65"/>
  <c r="E17" i="65"/>
  <c r="Y24" i="65"/>
  <c r="E24" i="65"/>
  <c r="B10" i="64"/>
  <c r="E10" i="64" s="1"/>
  <c r="B10" i="66"/>
  <c r="E10" i="66" s="1"/>
  <c r="E14" i="65"/>
  <c r="Y14" i="65"/>
  <c r="E27" i="65"/>
  <c r="Y27" i="65"/>
  <c r="Y20" i="66"/>
  <c r="E20" i="66"/>
  <c r="E21" i="65"/>
  <c r="Y21" i="65"/>
  <c r="E12" i="64"/>
  <c r="E14" i="66"/>
  <c r="Y14" i="66"/>
  <c r="Y8" i="66"/>
  <c r="E8" i="66"/>
  <c r="E12" i="66"/>
  <c r="Y12" i="66"/>
  <c r="Y8" i="65"/>
  <c r="E8" i="65"/>
  <c r="I28" i="22"/>
  <c r="H28" i="22" s="1"/>
  <c r="I27" i="22"/>
  <c r="H27" i="22" s="1"/>
  <c r="I26" i="22"/>
  <c r="H26" i="22" s="1"/>
  <c r="I25" i="22"/>
  <c r="H25" i="22" s="1"/>
  <c r="I24" i="22"/>
  <c r="H24" i="22" s="1"/>
  <c r="I23" i="22"/>
  <c r="H23" i="22" s="1"/>
  <c r="I21" i="22"/>
  <c r="H21" i="22" s="1"/>
  <c r="I20" i="22"/>
  <c r="H20" i="22" s="1"/>
  <c r="I19" i="22"/>
  <c r="H19" i="22" s="1"/>
  <c r="I18" i="22"/>
  <c r="H18" i="22" s="1"/>
  <c r="I17" i="22"/>
  <c r="H17" i="22" s="1"/>
  <c r="I16" i="22"/>
  <c r="H16" i="22" s="1"/>
  <c r="I14" i="22"/>
  <c r="H14" i="22" s="1"/>
  <c r="I13" i="22"/>
  <c r="H13" i="22" s="1"/>
  <c r="I11" i="22"/>
  <c r="H11" i="22" s="1"/>
  <c r="I10" i="22"/>
  <c r="H10" i="22" s="1"/>
  <c r="I8" i="22"/>
  <c r="H8" i="22" s="1"/>
  <c r="I7" i="22"/>
  <c r="H7" i="22" s="1"/>
  <c r="I6" i="22"/>
  <c r="H6" i="22" s="1"/>
  <c r="E27" i="43"/>
  <c r="E23" i="43"/>
  <c r="E20" i="43"/>
  <c r="E19" i="43"/>
  <c r="E18" i="43"/>
  <c r="E28" i="43"/>
  <c r="E24" i="43"/>
  <c r="E26" i="43"/>
  <c r="E25" i="43"/>
  <c r="E21" i="43"/>
  <c r="E17" i="43"/>
  <c r="E16" i="43"/>
  <c r="E14" i="43"/>
  <c r="AD25" i="21" l="1"/>
  <c r="Z25" i="21"/>
  <c r="Y25" i="21"/>
  <c r="AD24" i="21"/>
  <c r="Z24" i="21"/>
  <c r="Y24" i="21"/>
  <c r="AD23" i="21"/>
  <c r="Z23" i="21"/>
  <c r="Y23" i="21"/>
  <c r="AD22" i="21"/>
  <c r="Z22" i="21"/>
  <c r="Y22" i="21"/>
  <c r="AD21" i="21"/>
  <c r="Z21" i="21"/>
  <c r="Y21" i="21"/>
  <c r="AD20" i="21"/>
  <c r="Z20" i="21"/>
  <c r="Y20" i="21"/>
  <c r="AD19" i="21"/>
  <c r="Z19" i="21"/>
  <c r="Y19" i="21"/>
  <c r="AD18" i="21"/>
  <c r="Z18" i="21"/>
  <c r="Y18" i="21"/>
  <c r="AD17" i="21"/>
  <c r="Z17" i="21"/>
  <c r="Y17" i="21"/>
  <c r="AD16" i="21"/>
  <c r="Z16" i="21"/>
  <c r="Y16" i="21"/>
  <c r="AD15" i="21"/>
  <c r="Z15" i="21"/>
  <c r="Y15" i="21"/>
  <c r="AD14" i="21"/>
  <c r="Z14" i="21"/>
  <c r="Y14" i="21"/>
  <c r="AD13" i="21"/>
  <c r="Z13" i="21"/>
  <c r="Y13" i="21"/>
  <c r="AD12" i="21"/>
  <c r="Z12" i="21"/>
  <c r="Y12" i="21"/>
  <c r="AD11" i="21"/>
  <c r="Z11" i="21"/>
  <c r="Y11" i="21"/>
  <c r="AD10" i="21"/>
  <c r="Z10" i="21"/>
  <c r="Y10" i="21"/>
  <c r="AD9" i="21"/>
  <c r="Z9" i="21"/>
  <c r="Y9" i="21"/>
  <c r="AD8" i="21"/>
  <c r="Z8" i="21"/>
  <c r="Y8" i="21"/>
  <c r="AD7" i="21"/>
  <c r="Z7" i="21"/>
  <c r="Y7" i="21"/>
  <c r="AD6" i="21"/>
  <c r="Z6" i="21"/>
  <c r="Y6" i="21"/>
  <c r="AD5" i="21"/>
  <c r="Z5" i="21"/>
  <c r="Y5" i="21"/>
  <c r="AD4" i="21"/>
  <c r="Z4" i="21"/>
  <c r="Y4" i="21"/>
  <c r="AD3" i="21"/>
  <c r="Z3" i="21"/>
  <c r="Y3" i="21"/>
  <c r="AD2" i="21"/>
  <c r="Z2" i="21"/>
  <c r="Y2" i="21"/>
  <c r="F22" i="56" l="1"/>
  <c r="F20" i="56"/>
  <c r="F18" i="56"/>
  <c r="F17" i="56"/>
  <c r="F14" i="56"/>
  <c r="F10" i="56"/>
  <c r="F9" i="56"/>
  <c r="F2" i="56"/>
  <c r="V4" i="34" l="1"/>
  <c r="X77" i="34" l="1"/>
  <c r="X76" i="34"/>
  <c r="X24" i="66" s="1"/>
  <c r="X75" i="34"/>
  <c r="X23" i="66" s="1"/>
  <c r="X74" i="34"/>
  <c r="X73" i="34"/>
  <c r="X21" i="66" s="1"/>
  <c r="X72" i="34"/>
  <c r="X20" i="66" s="1"/>
  <c r="X71" i="34"/>
  <c r="X70" i="34"/>
  <c r="X18" i="66" s="1"/>
  <c r="X69" i="34"/>
  <c r="X17" i="66" s="1"/>
  <c r="X68" i="34"/>
  <c r="X67" i="34"/>
  <c r="X15" i="66" s="1"/>
  <c r="X66" i="34"/>
  <c r="X14" i="66" s="1"/>
  <c r="X65" i="34"/>
  <c r="X64" i="34"/>
  <c r="X12" i="66" s="1"/>
  <c r="X63" i="34"/>
  <c r="X11" i="66" s="1"/>
  <c r="X62" i="34"/>
  <c r="X61" i="34"/>
  <c r="X9" i="66" s="1"/>
  <c r="X60" i="34"/>
  <c r="X8" i="66" s="1"/>
  <c r="X59" i="34"/>
  <c r="X58" i="34"/>
  <c r="X57" i="34"/>
  <c r="X56" i="34"/>
  <c r="X55" i="34"/>
  <c r="X54" i="34"/>
  <c r="X53" i="34"/>
  <c r="X52" i="34"/>
  <c r="X51" i="34"/>
  <c r="X50" i="34"/>
  <c r="X49" i="34"/>
  <c r="X48" i="34"/>
  <c r="X47" i="34"/>
  <c r="X46" i="34"/>
  <c r="X45" i="34"/>
  <c r="X44" i="34"/>
  <c r="X43" i="34"/>
  <c r="X42" i="34"/>
  <c r="X41" i="34"/>
  <c r="X40" i="34"/>
  <c r="X39" i="34"/>
  <c r="X38" i="34"/>
  <c r="X37" i="34"/>
  <c r="X36" i="34"/>
  <c r="X35" i="34"/>
  <c r="X34" i="34"/>
  <c r="X33" i="34"/>
  <c r="X32" i="34"/>
  <c r="X31" i="34"/>
  <c r="X30" i="34"/>
  <c r="X29" i="34"/>
  <c r="X28" i="34"/>
  <c r="X27" i="34"/>
  <c r="X26" i="34"/>
  <c r="X25" i="34"/>
  <c r="X24" i="34"/>
  <c r="X23" i="34"/>
  <c r="X22" i="34"/>
  <c r="X21" i="34"/>
  <c r="X20" i="34"/>
  <c r="X19" i="34"/>
  <c r="X18" i="34"/>
  <c r="X17" i="34"/>
  <c r="X16" i="34"/>
  <c r="X15" i="34"/>
  <c r="X14" i="34"/>
  <c r="X13" i="34"/>
  <c r="X12" i="34"/>
  <c r="X11" i="34"/>
  <c r="X9" i="34"/>
  <c r="X8" i="34"/>
  <c r="X10"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X15" i="65" l="1"/>
  <c r="X11" i="56"/>
  <c r="X27" i="56"/>
  <c r="X21" i="65"/>
  <c r="X12" i="56"/>
  <c r="X20" i="56"/>
  <c r="X14" i="65"/>
  <c r="X22" i="65"/>
  <c r="X30" i="65"/>
  <c r="X21" i="56"/>
  <c r="X14" i="56"/>
  <c r="X8" i="65"/>
  <c r="X24" i="65"/>
  <c r="X15" i="56"/>
  <c r="X23" i="56"/>
  <c r="X9" i="65"/>
  <c r="X17" i="65"/>
  <c r="X25" i="65"/>
  <c r="X33" i="65"/>
  <c r="X24" i="56"/>
  <c r="X18" i="65"/>
  <c r="X34" i="65"/>
  <c r="X17" i="56"/>
  <c r="X11" i="65"/>
  <c r="X27" i="65"/>
  <c r="X31" i="65"/>
  <c r="X18" i="56"/>
  <c r="X26" i="56"/>
  <c r="X12" i="65"/>
  <c r="X28" i="65"/>
  <c r="X9" i="56"/>
  <c r="X8" i="56"/>
  <c r="F28" i="52" l="1"/>
  <c r="F27" i="52"/>
  <c r="F26" i="52"/>
  <c r="F25" i="52"/>
  <c r="F24" i="52"/>
  <c r="F23" i="52"/>
  <c r="F22" i="52"/>
  <c r="F21" i="52"/>
  <c r="F20" i="52"/>
  <c r="F19" i="52"/>
  <c r="F18" i="52"/>
  <c r="F17" i="52"/>
  <c r="F16" i="52"/>
  <c r="F15" i="52"/>
  <c r="F14" i="52"/>
  <c r="F13" i="52"/>
  <c r="F12" i="52"/>
  <c r="F11" i="52"/>
  <c r="F10" i="52"/>
  <c r="F9" i="52"/>
  <c r="Q3" i="53" l="1"/>
  <c r="N3" i="53"/>
  <c r="M3" i="53"/>
  <c r="L3" i="53"/>
  <c r="K3" i="53"/>
  <c r="J3" i="53"/>
  <c r="I3" i="53"/>
  <c r="F8" i="52" l="1"/>
  <c r="B15" i="53"/>
  <c r="O3" i="53"/>
  <c r="C8" i="34" s="1"/>
  <c r="B53" i="53"/>
  <c r="B34" i="53"/>
  <c r="B16" i="65" s="1"/>
  <c r="E16" i="65" s="1"/>
  <c r="C26" i="56"/>
  <c r="Y26" i="56" s="1"/>
  <c r="C28" i="56"/>
  <c r="B35" i="65" l="1"/>
  <c r="E35" i="65" s="1"/>
  <c r="B35" i="63"/>
  <c r="E35" i="63" s="1"/>
  <c r="C8" i="56"/>
  <c r="C9" i="56"/>
  <c r="R3" i="53"/>
  <c r="B3" i="53" s="1"/>
  <c r="B8" i="34" s="1"/>
  <c r="E8" i="34" s="1"/>
  <c r="C16" i="56"/>
  <c r="C10" i="56"/>
  <c r="C17" i="56"/>
  <c r="Y17" i="56" s="1"/>
  <c r="C12" i="56"/>
  <c r="C24" i="56"/>
  <c r="C23" i="56"/>
  <c r="Y23" i="56" s="1"/>
  <c r="C22" i="56"/>
  <c r="C18" i="56"/>
  <c r="C21" i="56"/>
  <c r="C15" i="56"/>
  <c r="C27" i="56"/>
  <c r="C14" i="56"/>
  <c r="Y14" i="56" s="1"/>
  <c r="C13" i="56"/>
  <c r="C25" i="56"/>
  <c r="C20" i="56"/>
  <c r="Y20" i="56" s="1"/>
  <c r="C11" i="56"/>
  <c r="Y11" i="56" s="1"/>
  <c r="C19" i="56"/>
  <c r="B13" i="53"/>
  <c r="B30" i="53"/>
  <c r="B65" i="53"/>
  <c r="B47" i="53"/>
  <c r="B12" i="53"/>
  <c r="B16" i="63" s="1"/>
  <c r="E16" i="63" s="1"/>
  <c r="C9" i="34"/>
  <c r="B8" i="53"/>
  <c r="B41" i="53"/>
  <c r="B42" i="53"/>
  <c r="B24" i="65" s="1"/>
  <c r="L24" i="65" s="1"/>
  <c r="B56" i="53"/>
  <c r="B49" i="53"/>
  <c r="C54" i="34"/>
  <c r="B69" i="53"/>
  <c r="C73" i="34"/>
  <c r="B63" i="53"/>
  <c r="C67" i="34"/>
  <c r="C35" i="34"/>
  <c r="C69" i="34"/>
  <c r="C52" i="34"/>
  <c r="C18" i="34"/>
  <c r="C17" i="52"/>
  <c r="C46" i="34"/>
  <c r="C33" i="34"/>
  <c r="B60" i="53"/>
  <c r="C64" i="34"/>
  <c r="C32" i="34"/>
  <c r="C17" i="34"/>
  <c r="C16" i="52"/>
  <c r="C74" i="34"/>
  <c r="C61" i="34"/>
  <c r="C47" i="34"/>
  <c r="C13" i="34"/>
  <c r="C12" i="52"/>
  <c r="C38" i="34"/>
  <c r="B54" i="53"/>
  <c r="C59" i="34"/>
  <c r="C25" i="34"/>
  <c r="C24" i="52"/>
  <c r="C34" i="34"/>
  <c r="C66" i="34"/>
  <c r="C53" i="34"/>
  <c r="B72" i="53"/>
  <c r="C76" i="34"/>
  <c r="B39" i="53"/>
  <c r="B21" i="65" s="1"/>
  <c r="L21" i="65" s="1"/>
  <c r="C44" i="34"/>
  <c r="B58" i="34"/>
  <c r="C30" i="34"/>
  <c r="B51" i="53"/>
  <c r="C56" i="34"/>
  <c r="B19" i="53"/>
  <c r="C24" i="34"/>
  <c r="C23" i="52"/>
  <c r="B22" i="53"/>
  <c r="C27" i="34"/>
  <c r="C26" i="52"/>
  <c r="C58" i="34"/>
  <c r="B40" i="53"/>
  <c r="B22" i="65" s="1"/>
  <c r="C45" i="34"/>
  <c r="B67" i="53"/>
  <c r="C71" i="34"/>
  <c r="C39" i="34"/>
  <c r="B18" i="53"/>
  <c r="C23" i="34"/>
  <c r="C22" i="52"/>
  <c r="C65" i="34"/>
  <c r="C51" i="34"/>
  <c r="C19" i="34"/>
  <c r="C18" i="52"/>
  <c r="C50" i="34"/>
  <c r="C37" i="34"/>
  <c r="C68" i="34"/>
  <c r="B31" i="53"/>
  <c r="B13" i="65" s="1"/>
  <c r="E13" i="65" s="1"/>
  <c r="C36" i="34"/>
  <c r="B26" i="53"/>
  <c r="B8" i="65" s="1"/>
  <c r="L8" i="65" s="1"/>
  <c r="C31" i="34"/>
  <c r="B17" i="53"/>
  <c r="B21" i="63" s="1"/>
  <c r="E21" i="63" s="1"/>
  <c r="C22" i="34"/>
  <c r="C21" i="52"/>
  <c r="C57" i="34"/>
  <c r="B43" i="53"/>
  <c r="B25" i="65" s="1"/>
  <c r="C48" i="34"/>
  <c r="B11" i="53"/>
  <c r="C16" i="34"/>
  <c r="C15" i="52"/>
  <c r="B37" i="53"/>
  <c r="B19" i="65" s="1"/>
  <c r="E19" i="65" s="1"/>
  <c r="C42" i="34"/>
  <c r="B24" i="53"/>
  <c r="C29" i="34"/>
  <c r="C28" i="52"/>
  <c r="C63" i="34"/>
  <c r="C28" i="34"/>
  <c r="C27" i="52"/>
  <c r="B28" i="53"/>
  <c r="B10" i="65" s="1"/>
  <c r="E10" i="65" s="1"/>
  <c r="B20" i="34"/>
  <c r="B19" i="52"/>
  <c r="C15" i="34"/>
  <c r="C14" i="52"/>
  <c r="C70" i="34"/>
  <c r="C14" i="34"/>
  <c r="C13" i="52"/>
  <c r="C49" i="34"/>
  <c r="B71" i="53"/>
  <c r="C75" i="34"/>
  <c r="B38" i="53"/>
  <c r="B20" i="65" s="1"/>
  <c r="E20" i="65" s="1"/>
  <c r="C43" i="34"/>
  <c r="C26" i="34"/>
  <c r="C25" i="52"/>
  <c r="C10" i="34"/>
  <c r="C9" i="52"/>
  <c r="B55" i="53"/>
  <c r="C60" i="34"/>
  <c r="C21" i="34"/>
  <c r="C20" i="52"/>
  <c r="B39" i="34"/>
  <c r="C12" i="34"/>
  <c r="C11" i="52"/>
  <c r="C62" i="34"/>
  <c r="C41" i="34"/>
  <c r="B68" i="53"/>
  <c r="C72" i="34"/>
  <c r="C40" i="34"/>
  <c r="B6" i="53"/>
  <c r="B10" i="63" s="1"/>
  <c r="E10" i="63" s="1"/>
  <c r="C11" i="34"/>
  <c r="C10" i="52"/>
  <c r="C77" i="34"/>
  <c r="B50" i="53"/>
  <c r="C55" i="34"/>
  <c r="C20" i="34"/>
  <c r="C19" i="52"/>
  <c r="B16" i="53"/>
  <c r="B20" i="63" s="1"/>
  <c r="E20" i="63" s="1"/>
  <c r="B36" i="53"/>
  <c r="B18" i="65" s="1"/>
  <c r="B21" i="53"/>
  <c r="B25" i="63" s="1"/>
  <c r="E25" i="63" s="1"/>
  <c r="B48" i="53"/>
  <c r="B52" i="53"/>
  <c r="B23" i="53"/>
  <c r="B64" i="53"/>
  <c r="B14" i="53"/>
  <c r="B32" i="53"/>
  <c r="B14" i="65" s="1"/>
  <c r="L14" i="65" s="1"/>
  <c r="B45" i="53"/>
  <c r="B27" i="65" s="1"/>
  <c r="L27" i="65" s="1"/>
  <c r="B20" i="53"/>
  <c r="B44" i="53"/>
  <c r="B26" i="65" s="1"/>
  <c r="E26" i="65" s="1"/>
  <c r="B10" i="53"/>
  <c r="B5" i="53"/>
  <c r="B35" i="53"/>
  <c r="B17" i="65" s="1"/>
  <c r="L17" i="65" s="1"/>
  <c r="B70" i="53"/>
  <c r="B25" i="53"/>
  <c r="C8" i="52"/>
  <c r="B27" i="53"/>
  <c r="B9" i="65" s="1"/>
  <c r="B66" i="53"/>
  <c r="B9" i="53"/>
  <c r="B46" i="53"/>
  <c r="B28" i="65" s="1"/>
  <c r="B62" i="53"/>
  <c r="B7" i="53"/>
  <c r="B29" i="53"/>
  <c r="B11" i="65" s="1"/>
  <c r="L11" i="65" s="1"/>
  <c r="B33" i="53"/>
  <c r="B15" i="65" s="1"/>
  <c r="B19" i="56"/>
  <c r="Y75" i="34"/>
  <c r="N23" i="64" s="1"/>
  <c r="Y69" i="34"/>
  <c r="N17" i="64" s="1"/>
  <c r="Y55" i="34"/>
  <c r="N32" i="63" s="1"/>
  <c r="Y52" i="34"/>
  <c r="N29" i="63" s="1"/>
  <c r="Y47" i="34"/>
  <c r="N24" i="63" s="1"/>
  <c r="Y29" i="34"/>
  <c r="N28" i="52" s="1"/>
  <c r="Y20" i="34"/>
  <c r="N19" i="52" s="1"/>
  <c r="Y33" i="34"/>
  <c r="N10" i="63" s="1"/>
  <c r="B13" i="63" l="1"/>
  <c r="E13" i="63" s="1"/>
  <c r="B17" i="63"/>
  <c r="B18" i="63"/>
  <c r="E18" i="63" s="1"/>
  <c r="B27" i="63"/>
  <c r="E27" i="63" s="1"/>
  <c r="B11" i="63"/>
  <c r="B9" i="63"/>
  <c r="E9" i="63" s="1"/>
  <c r="B14" i="63"/>
  <c r="Y22" i="65"/>
  <c r="E22" i="65"/>
  <c r="B15" i="64"/>
  <c r="E15" i="64" s="1"/>
  <c r="B15" i="66"/>
  <c r="B17" i="66"/>
  <c r="L17" i="66" s="1"/>
  <c r="B17" i="64"/>
  <c r="E25" i="65"/>
  <c r="Y25" i="65"/>
  <c r="B33" i="65"/>
  <c r="L33" i="65" s="1"/>
  <c r="B33" i="63"/>
  <c r="B13" i="66"/>
  <c r="E13" i="66" s="1"/>
  <c r="B13" i="64"/>
  <c r="E13" i="64" s="1"/>
  <c r="B46" i="34"/>
  <c r="E46" i="34" s="1"/>
  <c r="B23" i="65"/>
  <c r="E23" i="65" s="1"/>
  <c r="B16" i="66"/>
  <c r="E16" i="66" s="1"/>
  <c r="B16" i="64"/>
  <c r="E16" i="64" s="1"/>
  <c r="B34" i="65"/>
  <c r="B34" i="63"/>
  <c r="E34" i="63" s="1"/>
  <c r="B19" i="66"/>
  <c r="E19" i="66" s="1"/>
  <c r="B19" i="64"/>
  <c r="E19" i="64" s="1"/>
  <c r="B30" i="65"/>
  <c r="L30" i="65" s="1"/>
  <c r="B30" i="63"/>
  <c r="B22" i="64"/>
  <c r="E22" i="64" s="1"/>
  <c r="B22" i="66"/>
  <c r="E22" i="66" s="1"/>
  <c r="B23" i="66"/>
  <c r="L23" i="66" s="1"/>
  <c r="B23" i="64"/>
  <c r="B28" i="63"/>
  <c r="E28" i="63" s="1"/>
  <c r="B24" i="66"/>
  <c r="B24" i="64"/>
  <c r="E24" i="64" s="1"/>
  <c r="B22" i="63"/>
  <c r="E22" i="63" s="1"/>
  <c r="B29" i="65"/>
  <c r="E29" i="65" s="1"/>
  <c r="B29" i="63"/>
  <c r="E29" i="63" s="1"/>
  <c r="E28" i="65"/>
  <c r="Y28" i="65"/>
  <c r="B8" i="66"/>
  <c r="L8" i="66" s="1"/>
  <c r="B8" i="64"/>
  <c r="E9" i="65"/>
  <c r="Y9" i="65"/>
  <c r="B24" i="63"/>
  <c r="E24" i="63" s="1"/>
  <c r="E15" i="65"/>
  <c r="Y15" i="65"/>
  <c r="Y18" i="65"/>
  <c r="E18" i="65"/>
  <c r="B20" i="66"/>
  <c r="L20" i="66" s="1"/>
  <c r="B20" i="64"/>
  <c r="B31" i="65"/>
  <c r="B31" i="63"/>
  <c r="E31" i="63" s="1"/>
  <c r="B18" i="66"/>
  <c r="B18" i="64"/>
  <c r="E18" i="64" s="1"/>
  <c r="B21" i="64"/>
  <c r="E21" i="64" s="1"/>
  <c r="B21" i="66"/>
  <c r="B32" i="65"/>
  <c r="E32" i="65" s="1"/>
  <c r="B32" i="63"/>
  <c r="E32" i="63" s="1"/>
  <c r="B15" i="63"/>
  <c r="E15" i="63" s="1"/>
  <c r="B23" i="63"/>
  <c r="E23" i="63" s="1"/>
  <c r="B25" i="66"/>
  <c r="E25" i="66" s="1"/>
  <c r="B25" i="64"/>
  <c r="E25" i="64" s="1"/>
  <c r="B9" i="66"/>
  <c r="B9" i="64"/>
  <c r="E9" i="64" s="1"/>
  <c r="B35" i="34"/>
  <c r="E35" i="34" s="1"/>
  <c r="B12" i="65"/>
  <c r="B19" i="63"/>
  <c r="E19" i="63" s="1"/>
  <c r="B12" i="52"/>
  <c r="E12" i="52" s="1"/>
  <c r="B12" i="63"/>
  <c r="E12" i="63" s="1"/>
  <c r="B26" i="56"/>
  <c r="L26" i="56" s="1"/>
  <c r="B26" i="63"/>
  <c r="E26" i="63" s="1"/>
  <c r="B69" i="34"/>
  <c r="B28" i="56"/>
  <c r="E28" i="56" s="1"/>
  <c r="E26" i="56"/>
  <c r="E19" i="56"/>
  <c r="B9" i="56"/>
  <c r="B13" i="34"/>
  <c r="E13" i="34" s="1"/>
  <c r="B17" i="56"/>
  <c r="L17" i="56" s="1"/>
  <c r="B10" i="56"/>
  <c r="E10" i="56" s="1"/>
  <c r="B14" i="56"/>
  <c r="L14" i="56" s="1"/>
  <c r="B27" i="56"/>
  <c r="B11" i="56"/>
  <c r="L11" i="56" s="1"/>
  <c r="B21" i="56"/>
  <c r="B23" i="56"/>
  <c r="L23" i="56" s="1"/>
  <c r="B25" i="56"/>
  <c r="B13" i="56"/>
  <c r="B18" i="56"/>
  <c r="B15" i="56"/>
  <c r="B17" i="34"/>
  <c r="E17" i="34" s="1"/>
  <c r="B16" i="56"/>
  <c r="B24" i="56"/>
  <c r="B20" i="56"/>
  <c r="L20" i="56" s="1"/>
  <c r="B22" i="56"/>
  <c r="B12" i="56"/>
  <c r="B16" i="52"/>
  <c r="E16" i="52" s="1"/>
  <c r="B61" i="34"/>
  <c r="E61" i="34" s="1"/>
  <c r="B52" i="34"/>
  <c r="E52" i="34" s="1"/>
  <c r="B17" i="52"/>
  <c r="E17" i="52" s="1"/>
  <c r="B18" i="34"/>
  <c r="E18" i="34" s="1"/>
  <c r="B47" i="34"/>
  <c r="E47" i="34" s="1"/>
  <c r="E19" i="52"/>
  <c r="E20" i="34"/>
  <c r="B14" i="34"/>
  <c r="E14" i="34" s="1"/>
  <c r="B13" i="52"/>
  <c r="E13" i="52" s="1"/>
  <c r="B77" i="34"/>
  <c r="E77" i="34" s="1"/>
  <c r="B10" i="34"/>
  <c r="E10" i="34" s="1"/>
  <c r="B9" i="52"/>
  <c r="B34" i="34"/>
  <c r="E34" i="34" s="1"/>
  <c r="B66" i="34"/>
  <c r="E66" i="34" s="1"/>
  <c r="B70" i="34"/>
  <c r="E70" i="34" s="1"/>
  <c r="B25" i="34"/>
  <c r="E25" i="34" s="1"/>
  <c r="B24" i="52"/>
  <c r="E24" i="52" s="1"/>
  <c r="B68" i="34"/>
  <c r="E68" i="34" s="1"/>
  <c r="B21" i="34"/>
  <c r="E21" i="34" s="1"/>
  <c r="B20" i="52"/>
  <c r="E20" i="52" s="1"/>
  <c r="B62" i="34"/>
  <c r="E62" i="34" s="1"/>
  <c r="B30" i="34"/>
  <c r="E30" i="34" s="1"/>
  <c r="B4" i="53"/>
  <c r="B57" i="34"/>
  <c r="E57" i="34" s="1"/>
  <c r="B72" i="34"/>
  <c r="E72" i="34" s="1"/>
  <c r="B12" i="34"/>
  <c r="E12" i="34" s="1"/>
  <c r="B11" i="52"/>
  <c r="E11" i="52" s="1"/>
  <c r="B50" i="34"/>
  <c r="E50" i="34" s="1"/>
  <c r="B53" i="34"/>
  <c r="E53" i="34" s="1"/>
  <c r="B37" i="34"/>
  <c r="E37" i="34" s="1"/>
  <c r="B65" i="34"/>
  <c r="E65" i="34" s="1"/>
  <c r="B74" i="34"/>
  <c r="E74" i="34" s="1"/>
  <c r="B55" i="34"/>
  <c r="E55" i="34" s="1"/>
  <c r="B38" i="34"/>
  <c r="E38" i="34" s="1"/>
  <c r="B32" i="34"/>
  <c r="E32" i="34" s="1"/>
  <c r="B49" i="34"/>
  <c r="E49" i="34" s="1"/>
  <c r="B51" i="34"/>
  <c r="E51" i="34" s="1"/>
  <c r="B40" i="34"/>
  <c r="E40" i="34" s="1"/>
  <c r="B15" i="34"/>
  <c r="E15" i="34" s="1"/>
  <c r="B14" i="52"/>
  <c r="E14" i="52" s="1"/>
  <c r="B28" i="34"/>
  <c r="E28" i="34" s="1"/>
  <c r="B27" i="52"/>
  <c r="E27" i="52" s="1"/>
  <c r="B75" i="34"/>
  <c r="E75" i="34" s="1"/>
  <c r="B33" i="34"/>
  <c r="E33" i="34" s="1"/>
  <c r="B16" i="34"/>
  <c r="E16" i="34" s="1"/>
  <c r="B15" i="52"/>
  <c r="E15" i="52" s="1"/>
  <c r="B36" i="34"/>
  <c r="E36" i="34" s="1"/>
  <c r="E58" i="34"/>
  <c r="B76" i="34"/>
  <c r="E76" i="34" s="1"/>
  <c r="B60" i="34"/>
  <c r="E60" i="34" s="1"/>
  <c r="B42" i="34"/>
  <c r="E42" i="34" s="1"/>
  <c r="E39" i="34"/>
  <c r="E69" i="34"/>
  <c r="B54" i="34"/>
  <c r="E54" i="34" s="1"/>
  <c r="B31" i="34"/>
  <c r="E31" i="34" s="1"/>
  <c r="B23" i="34"/>
  <c r="E23" i="34" s="1"/>
  <c r="B22" i="52"/>
  <c r="B24" i="34"/>
  <c r="E24" i="34" s="1"/>
  <c r="B23" i="52"/>
  <c r="B63" i="34"/>
  <c r="E63" i="34" s="1"/>
  <c r="B29" i="34"/>
  <c r="E29" i="34" s="1"/>
  <c r="B28" i="52"/>
  <c r="E28" i="52" s="1"/>
  <c r="B48" i="34"/>
  <c r="E48" i="34" s="1"/>
  <c r="B45" i="34"/>
  <c r="E45" i="34" s="1"/>
  <c r="B73" i="34"/>
  <c r="E73" i="34" s="1"/>
  <c r="B22" i="34"/>
  <c r="E22" i="34" s="1"/>
  <c r="B21" i="52"/>
  <c r="B71" i="34"/>
  <c r="E71" i="34" s="1"/>
  <c r="B59" i="34"/>
  <c r="E59" i="34" s="1"/>
  <c r="B26" i="34"/>
  <c r="E26" i="34" s="1"/>
  <c r="B25" i="52"/>
  <c r="E25" i="52" s="1"/>
  <c r="B11" i="34"/>
  <c r="E11" i="34" s="1"/>
  <c r="B10" i="52"/>
  <c r="B43" i="34"/>
  <c r="E43" i="34" s="1"/>
  <c r="B56" i="34"/>
  <c r="E56" i="34" s="1"/>
  <c r="B44" i="34"/>
  <c r="E44" i="34" s="1"/>
  <c r="B64" i="34"/>
  <c r="E64" i="34" s="1"/>
  <c r="B19" i="34"/>
  <c r="E19" i="34" s="1"/>
  <c r="B18" i="52"/>
  <c r="E18" i="52" s="1"/>
  <c r="B41" i="34"/>
  <c r="E41" i="34" s="1"/>
  <c r="B67" i="34"/>
  <c r="E67" i="34" s="1"/>
  <c r="B27" i="34"/>
  <c r="E27" i="34" s="1"/>
  <c r="B26" i="52"/>
  <c r="E26" i="52" s="1"/>
  <c r="E21" i="66" l="1"/>
  <c r="Y21" i="66"/>
  <c r="Y24" i="66"/>
  <c r="E24" i="66"/>
  <c r="Y15" i="66"/>
  <c r="E15" i="66"/>
  <c r="E12" i="65"/>
  <c r="Y12" i="65"/>
  <c r="E18" i="66"/>
  <c r="Y18" i="66"/>
  <c r="E34" i="65"/>
  <c r="Y34" i="65"/>
  <c r="E31" i="65"/>
  <c r="Y31" i="65"/>
  <c r="Y9" i="66"/>
  <c r="E9" i="66"/>
  <c r="Y27" i="56"/>
  <c r="Y18" i="56"/>
  <c r="Y15" i="56"/>
  <c r="Y12" i="56"/>
  <c r="Y24" i="56"/>
  <c r="Y21" i="56"/>
  <c r="B8" i="56"/>
  <c r="L8" i="56" s="1"/>
  <c r="B8" i="63"/>
  <c r="Y9" i="56"/>
  <c r="E23" i="56"/>
  <c r="E21" i="56"/>
  <c r="E27" i="56"/>
  <c r="E11" i="56"/>
  <c r="E16" i="56"/>
  <c r="E15" i="56"/>
  <c r="E13" i="56"/>
  <c r="E25" i="56"/>
  <c r="E24" i="56"/>
  <c r="E12" i="56"/>
  <c r="E8" i="56"/>
  <c r="E9" i="56"/>
  <c r="Y8" i="56"/>
  <c r="E17" i="56"/>
  <c r="E9" i="52"/>
  <c r="E20" i="56"/>
  <c r="E14" i="56"/>
  <c r="E22" i="56"/>
  <c r="E18" i="56"/>
  <c r="B9" i="34"/>
  <c r="E9" i="34" s="1"/>
  <c r="E10" i="52"/>
  <c r="E23" i="52"/>
  <c r="B8" i="52"/>
  <c r="E8" i="52" s="1"/>
  <c r="E22" i="52"/>
  <c r="E21" i="52"/>
  <c r="F4" i="65" l="1"/>
  <c r="F4" i="66"/>
  <c r="F4" i="56"/>
  <c r="E13" i="43"/>
  <c r="E11" i="43"/>
  <c r="E10" i="43"/>
  <c r="E8" i="43"/>
  <c r="E7" i="43"/>
  <c r="E6" i="43"/>
  <c r="Q13" i="21" l="1"/>
  <c r="Q14" i="21"/>
  <c r="Q15" i="21"/>
  <c r="Q16" i="21"/>
  <c r="Q17" i="21"/>
  <c r="Q18" i="21"/>
  <c r="Q19" i="21"/>
  <c r="Q20" i="21"/>
  <c r="Q21" i="21"/>
  <c r="Q22" i="21"/>
  <c r="Q23" i="21"/>
  <c r="AA21" i="22" l="1"/>
  <c r="AA20" i="22"/>
  <c r="AA18" i="22"/>
  <c r="AA25" i="22"/>
  <c r="AA17" i="22"/>
  <c r="AA24" i="22"/>
  <c r="AA16" i="22"/>
  <c r="AA23" i="22"/>
  <c r="AA15" i="22"/>
  <c r="AA19" i="22"/>
  <c r="AA22" i="22"/>
  <c r="T17" i="34"/>
  <c r="I5" i="22" l="1"/>
  <c r="E5" i="43"/>
  <c r="E3" i="43"/>
  <c r="D3" i="43"/>
  <c r="U4" i="34" l="1"/>
  <c r="T4" i="34"/>
  <c r="S4" i="34"/>
  <c r="R4" i="34"/>
  <c r="Y11" i="34" l="1"/>
  <c r="N10" i="52" s="1"/>
  <c r="Y9" i="34"/>
  <c r="N8" i="52" s="1"/>
  <c r="Y8" i="34"/>
  <c r="O8" i="20"/>
  <c r="O7" i="20"/>
  <c r="Y56" i="34" l="1"/>
  <c r="N33" i="63" s="1"/>
  <c r="Y26" i="34"/>
  <c r="N25" i="52" s="1"/>
  <c r="Y49" i="34"/>
  <c r="N26" i="63" s="1"/>
  <c r="Y59" i="34"/>
  <c r="Y46" i="34"/>
  <c r="N23" i="63" s="1"/>
  <c r="Y72" i="34"/>
  <c r="N20" i="64" s="1"/>
  <c r="Y24" i="34"/>
  <c r="N23" i="52" s="1"/>
  <c r="Y77" i="34"/>
  <c r="N25" i="64" s="1"/>
  <c r="Y30" i="34"/>
  <c r="Y18" i="34"/>
  <c r="N17" i="52" s="1"/>
  <c r="Y71" i="34"/>
  <c r="N19" i="64" s="1"/>
  <c r="Y50" i="34"/>
  <c r="N27" i="63" s="1"/>
  <c r="Y68" i="34"/>
  <c r="N16" i="64" s="1"/>
  <c r="T14" i="34" l="1"/>
  <c r="T13" i="34"/>
  <c r="T15" i="34"/>
  <c r="T8" i="34"/>
  <c r="T9" i="34"/>
  <c r="T20" i="34"/>
  <c r="O6" i="20"/>
  <c r="O5" i="20"/>
  <c r="O4" i="20"/>
  <c r="D11" i="20"/>
  <c r="D4" i="20"/>
  <c r="O22" i="64" l="1"/>
  <c r="O18" i="64"/>
  <c r="G18" i="66" s="1"/>
  <c r="O34" i="63"/>
  <c r="G34" i="65" s="1"/>
  <c r="M33" i="65" s="1"/>
  <c r="O30" i="63"/>
  <c r="O22" i="63"/>
  <c r="G22" i="65" s="1"/>
  <c r="O18" i="63"/>
  <c r="G18" i="65" s="1"/>
  <c r="O27" i="52"/>
  <c r="G27" i="56" s="1"/>
  <c r="M26" i="56" s="1"/>
  <c r="O19" i="52"/>
  <c r="O15" i="52"/>
  <c r="G15" i="56" s="1"/>
  <c r="O25" i="64"/>
  <c r="O21" i="64"/>
  <c r="G21" i="66" s="1"/>
  <c r="O13" i="64"/>
  <c r="O9" i="64"/>
  <c r="G9" i="66" s="1"/>
  <c r="O33" i="63"/>
  <c r="O29" i="63"/>
  <c r="O25" i="63"/>
  <c r="G25" i="65" s="1"/>
  <c r="M24" i="65" s="1"/>
  <c r="O21" i="63"/>
  <c r="O13" i="63"/>
  <c r="O9" i="63"/>
  <c r="G9" i="65" s="1"/>
  <c r="M8" i="65" s="1"/>
  <c r="O22" i="52"/>
  <c r="O18" i="52"/>
  <c r="G18" i="56" s="1"/>
  <c r="O24" i="64"/>
  <c r="G24" i="66" s="1"/>
  <c r="O16" i="64"/>
  <c r="O12" i="64"/>
  <c r="G12" i="66" s="1"/>
  <c r="M11" i="66" s="1"/>
  <c r="O32" i="63"/>
  <c r="O28" i="63"/>
  <c r="G28" i="65" s="1"/>
  <c r="M27" i="65" s="1"/>
  <c r="O24" i="63"/>
  <c r="O16" i="63"/>
  <c r="O12" i="63"/>
  <c r="G12" i="65" s="1"/>
  <c r="O25" i="52"/>
  <c r="O21" i="52"/>
  <c r="G21" i="56" s="1"/>
  <c r="M20" i="56" s="1"/>
  <c r="O13" i="52"/>
  <c r="O9" i="52"/>
  <c r="G9" i="56" s="1"/>
  <c r="O19" i="64"/>
  <c r="O15" i="64"/>
  <c r="G15" i="66" s="1"/>
  <c r="M14" i="66" s="1"/>
  <c r="O31" i="63"/>
  <c r="G31" i="65" s="1"/>
  <c r="M30" i="65" s="1"/>
  <c r="O27" i="63"/>
  <c r="O15" i="63"/>
  <c r="G15" i="65" s="1"/>
  <c r="M14" i="65" s="1"/>
  <c r="O28" i="52"/>
  <c r="O24" i="52"/>
  <c r="G24" i="56" s="1"/>
  <c r="M23" i="56" s="1"/>
  <c r="O16" i="52"/>
  <c r="O12" i="52"/>
  <c r="G12" i="56" s="1"/>
  <c r="M11" i="56" s="1"/>
  <c r="O35" i="63"/>
  <c r="O19" i="63"/>
  <c r="M11" i="65"/>
  <c r="M8" i="66"/>
  <c r="M23" i="66"/>
  <c r="M17" i="66"/>
  <c r="M21" i="65"/>
  <c r="M17" i="65"/>
  <c r="M20" i="66"/>
  <c r="M14" i="56"/>
  <c r="M17" i="56"/>
  <c r="M8" i="56"/>
  <c r="Y61" i="34"/>
  <c r="N9" i="64" s="1"/>
  <c r="Y41" i="34"/>
  <c r="N18" i="63" s="1"/>
  <c r="Y73" i="34"/>
  <c r="N21" i="64" s="1"/>
  <c r="Y35" i="34"/>
  <c r="N12" i="63" s="1"/>
  <c r="Y48" i="34"/>
  <c r="N25" i="63" s="1"/>
  <c r="Y32" i="34"/>
  <c r="N9" i="63" s="1"/>
  <c r="Y28" i="34"/>
  <c r="N27" i="52" s="1"/>
  <c r="Y51" i="34"/>
  <c r="N28" i="63" s="1"/>
  <c r="T29" i="34"/>
  <c r="Y19" i="34"/>
  <c r="N18" i="52" s="1"/>
  <c r="Y36" i="34"/>
  <c r="N13" i="63" s="1"/>
  <c r="Y45" i="34"/>
  <c r="N22" i="63" s="1"/>
  <c r="Y16" i="34"/>
  <c r="N15" i="52" s="1"/>
  <c r="Y76" i="34"/>
  <c r="N24" i="64" s="1"/>
  <c r="Y38" i="34"/>
  <c r="N15" i="63" s="1"/>
  <c r="Y39" i="34"/>
  <c r="N16" i="63" s="1"/>
  <c r="Y43" i="34"/>
  <c r="N20" i="63" s="1"/>
  <c r="Y23" i="34"/>
  <c r="N22" i="52" s="1"/>
  <c r="Y66" i="34"/>
  <c r="N14" i="64" s="1"/>
  <c r="Y42" i="34"/>
  <c r="N19" i="63" s="1"/>
  <c r="Y63" i="34"/>
  <c r="N11" i="64" s="1"/>
  <c r="Y13" i="34"/>
  <c r="N12" i="52" s="1"/>
  <c r="Y25" i="34"/>
  <c r="N24" i="52" s="1"/>
  <c r="Y58" i="34"/>
  <c r="N35" i="63" s="1"/>
  <c r="Y70" i="34"/>
  <c r="N18" i="64" s="1"/>
  <c r="Y22" i="34"/>
  <c r="N21" i="52" s="1"/>
  <c r="Y44" i="34"/>
  <c r="N21" i="63" s="1"/>
  <c r="Y54" i="34"/>
  <c r="N31" i="63" s="1"/>
  <c r="Y65" i="34"/>
  <c r="N13" i="64" s="1"/>
  <c r="Y14" i="34"/>
  <c r="N13" i="52" s="1"/>
  <c r="Y31" i="34"/>
  <c r="N8" i="63" s="1"/>
  <c r="Y62" i="34"/>
  <c r="N10" i="64" s="1"/>
  <c r="Y64" i="34"/>
  <c r="N12" i="64" s="1"/>
  <c r="Y40" i="34"/>
  <c r="N17" i="63" s="1"/>
  <c r="Y57" i="34"/>
  <c r="N34" i="63" s="1"/>
  <c r="Y17" i="34"/>
  <c r="N16" i="52" s="1"/>
  <c r="Y21" i="34"/>
  <c r="N20" i="52" s="1"/>
  <c r="Y37" i="34"/>
  <c r="N14" i="63" s="1"/>
  <c r="Y15" i="34"/>
  <c r="N14" i="52" s="1"/>
  <c r="Y53" i="34"/>
  <c r="N30" i="63" s="1"/>
  <c r="Y67" i="34"/>
  <c r="N15" i="64" s="1"/>
  <c r="Y27" i="34"/>
  <c r="N26" i="52" s="1"/>
  <c r="Y60" i="34"/>
  <c r="N8" i="64" s="1"/>
  <c r="Y74" i="34"/>
  <c r="N22" i="64" s="1"/>
  <c r="T10" i="34"/>
  <c r="T11" i="34"/>
  <c r="T12" i="34"/>
  <c r="T28" i="34"/>
  <c r="Y34" i="34"/>
  <c r="N11" i="63" s="1"/>
  <c r="Y10" i="34"/>
  <c r="N9" i="52" s="1"/>
  <c r="Y12" i="34"/>
  <c r="N11" i="52" s="1"/>
  <c r="N17" i="56" l="1"/>
  <c r="O17" i="56" s="1"/>
  <c r="G17" i="56" s="1"/>
  <c r="R17" i="56"/>
  <c r="P17" i="56"/>
  <c r="Q17" i="56" s="1"/>
  <c r="R26" i="56"/>
  <c r="P26" i="56"/>
  <c r="Q26" i="56" s="1"/>
  <c r="N26" i="56"/>
  <c r="O26" i="56" s="1"/>
  <c r="G26" i="56" s="1"/>
  <c r="N21" i="65"/>
  <c r="O21" i="65" s="1"/>
  <c r="G21" i="65" s="1"/>
  <c r="R21" i="65"/>
  <c r="P21" i="65"/>
  <c r="Q21" i="65" s="1"/>
  <c r="P17" i="66"/>
  <c r="Q17" i="66" s="1"/>
  <c r="N17" i="66"/>
  <c r="O17" i="66" s="1"/>
  <c r="G17" i="66" s="1"/>
  <c r="R17" i="66"/>
  <c r="R30" i="65"/>
  <c r="P30" i="65"/>
  <c r="Q30" i="65" s="1"/>
  <c r="N30" i="65"/>
  <c r="O30" i="65" s="1"/>
  <c r="G30" i="65" s="1"/>
  <c r="N11" i="56"/>
  <c r="O11" i="56" s="1"/>
  <c r="G11" i="56" s="1"/>
  <c r="P11" i="56"/>
  <c r="Q11" i="56" s="1"/>
  <c r="R11" i="56"/>
  <c r="P20" i="66"/>
  <c r="Q20" i="66" s="1"/>
  <c r="N20" i="66"/>
  <c r="O20" i="66" s="1"/>
  <c r="G20" i="66" s="1"/>
  <c r="R20" i="66"/>
  <c r="N33" i="65"/>
  <c r="O33" i="65" s="1"/>
  <c r="G33" i="65" s="1"/>
  <c r="R33" i="65"/>
  <c r="P33" i="65"/>
  <c r="Q33" i="65" s="1"/>
  <c r="N14" i="66"/>
  <c r="O14" i="66" s="1"/>
  <c r="G14" i="66" s="1"/>
  <c r="P14" i="66"/>
  <c r="Q14" i="66" s="1"/>
  <c r="R14" i="66"/>
  <c r="R20" i="56"/>
  <c r="N20" i="56"/>
  <c r="O20" i="56" s="1"/>
  <c r="G20" i="56" s="1"/>
  <c r="P20" i="56"/>
  <c r="Q20" i="56" s="1"/>
  <c r="R14" i="56"/>
  <c r="N14" i="56"/>
  <c r="O14" i="56" s="1"/>
  <c r="G14" i="56" s="1"/>
  <c r="P14" i="56"/>
  <c r="Q14" i="56" s="1"/>
  <c r="N14" i="65"/>
  <c r="O14" i="65" s="1"/>
  <c r="G14" i="65" s="1"/>
  <c r="R14" i="65"/>
  <c r="P14" i="65"/>
  <c r="Q14" i="65" s="1"/>
  <c r="P27" i="65"/>
  <c r="Q27" i="65" s="1"/>
  <c r="R27" i="65"/>
  <c r="N27" i="65"/>
  <c r="O27" i="65" s="1"/>
  <c r="G27" i="65" s="1"/>
  <c r="N11" i="66"/>
  <c r="O11" i="66" s="1"/>
  <c r="G11" i="66" s="1"/>
  <c r="R11" i="66"/>
  <c r="P11" i="66"/>
  <c r="Q11" i="66" s="1"/>
  <c r="R23" i="66"/>
  <c r="P23" i="66"/>
  <c r="Q23" i="66" s="1"/>
  <c r="N23" i="66"/>
  <c r="O23" i="66" s="1"/>
  <c r="G23" i="66" s="1"/>
  <c r="N24" i="65"/>
  <c r="O24" i="65" s="1"/>
  <c r="G24" i="65" s="1"/>
  <c r="P24" i="65"/>
  <c r="Q24" i="65" s="1"/>
  <c r="R24" i="65"/>
  <c r="P23" i="56"/>
  <c r="Q23" i="56" s="1"/>
  <c r="N23" i="56"/>
  <c r="O23" i="56" s="1"/>
  <c r="G23" i="56" s="1"/>
  <c r="R23" i="56"/>
  <c r="P17" i="65"/>
  <c r="Q17" i="65" s="1"/>
  <c r="R17" i="65"/>
  <c r="N17" i="65"/>
  <c r="O17" i="65" s="1"/>
  <c r="G17" i="65" s="1"/>
  <c r="N8" i="65"/>
  <c r="O8" i="65" s="1"/>
  <c r="G8" i="65" s="1"/>
  <c r="R8" i="65"/>
  <c r="P8" i="65"/>
  <c r="Q8" i="65" s="1"/>
  <c r="P8" i="66"/>
  <c r="Q8" i="66" s="1"/>
  <c r="R8" i="66"/>
  <c r="N8" i="66"/>
  <c r="O8" i="66" s="1"/>
  <c r="G8" i="66" s="1"/>
  <c r="R11" i="65"/>
  <c r="N11" i="65"/>
  <c r="O11" i="65" s="1"/>
  <c r="G11" i="65" s="1"/>
  <c r="P11" i="65"/>
  <c r="Q11" i="65" s="1"/>
  <c r="S21" i="21"/>
  <c r="S6" i="21"/>
  <c r="R7" i="21"/>
  <c r="S3" i="21"/>
  <c r="R6" i="21"/>
  <c r="S23" i="21"/>
  <c r="R16" i="21"/>
  <c r="R10" i="21"/>
  <c r="S14" i="21"/>
  <c r="R3" i="21"/>
  <c r="R12" i="21"/>
  <c r="R23" i="21"/>
  <c r="S9" i="21"/>
  <c r="S22" i="21"/>
  <c r="S7" i="21"/>
  <c r="S15" i="21"/>
  <c r="R13" i="21"/>
  <c r="S12" i="21"/>
  <c r="R22" i="21"/>
  <c r="R20" i="21"/>
  <c r="S4" i="21"/>
  <c r="R4" i="21"/>
  <c r="R17" i="21"/>
  <c r="R15" i="21"/>
  <c r="S11" i="21"/>
  <c r="S19" i="21"/>
  <c r="R8" i="21"/>
  <c r="R19" i="21"/>
  <c r="R11" i="21"/>
  <c r="R14" i="21"/>
  <c r="S5" i="21"/>
  <c r="S13" i="21"/>
  <c r="S8" i="21"/>
  <c r="S10" i="21"/>
  <c r="S18" i="21"/>
  <c r="R5" i="21"/>
  <c r="R9" i="21"/>
  <c r="R18" i="21"/>
  <c r="S20" i="21"/>
  <c r="S17" i="21"/>
  <c r="S16" i="21"/>
  <c r="R21" i="21"/>
  <c r="AC15" i="22" l="1"/>
  <c r="AC20" i="22"/>
  <c r="AC21" i="22"/>
  <c r="AC22" i="22"/>
  <c r="AC24" i="22"/>
  <c r="AC18" i="22"/>
  <c r="AC23" i="22"/>
  <c r="AC25" i="22"/>
  <c r="AC17" i="22"/>
  <c r="AC19" i="22"/>
  <c r="AC16" i="22"/>
  <c r="AB3" i="21"/>
  <c r="B5" i="22" s="1"/>
  <c r="AB2" i="21"/>
  <c r="Q12" i="21"/>
  <c r="Q11" i="21"/>
  <c r="Q10" i="21"/>
  <c r="Q9" i="21"/>
  <c r="Q8" i="21"/>
  <c r="Q7" i="21"/>
  <c r="Q6" i="21"/>
  <c r="Q5" i="21"/>
  <c r="AA10" i="22" l="1"/>
  <c r="AA12" i="22"/>
  <c r="AA9" i="22"/>
  <c r="AA13" i="22"/>
  <c r="AA14" i="22"/>
  <c r="AA11" i="22"/>
  <c r="AA8" i="22"/>
  <c r="B4" i="22"/>
  <c r="T33" i="34"/>
  <c r="T34" i="34"/>
  <c r="B5" i="43"/>
  <c r="B4" i="43"/>
  <c r="AA7" i="22"/>
  <c r="AC8" i="22" l="1"/>
  <c r="AC11" i="22"/>
  <c r="AC10" i="22"/>
  <c r="AC14" i="22"/>
  <c r="AC12" i="22"/>
  <c r="AC7" i="22"/>
  <c r="AC13" i="22"/>
  <c r="AC9" i="22"/>
  <c r="T35" i="34" l="1"/>
  <c r="H5" i="22"/>
  <c r="AB20" i="21" l="1"/>
  <c r="AB13" i="21"/>
  <c r="AB8" i="21"/>
  <c r="B15" i="43" l="1"/>
  <c r="B15" i="22"/>
  <c r="B10" i="22"/>
  <c r="B10" i="43"/>
  <c r="B22" i="22"/>
  <c r="B22" i="43"/>
  <c r="T71" i="34"/>
  <c r="T47" i="34"/>
  <c r="T51" i="34"/>
  <c r="T41" i="34"/>
  <c r="T46" i="34"/>
  <c r="T66" i="34"/>
  <c r="T73" i="34"/>
  <c r="T77" i="34"/>
  <c r="T58" i="34"/>
  <c r="T37" i="34"/>
  <c r="T52" i="34"/>
  <c r="AB17" i="21"/>
  <c r="T27" i="34"/>
  <c r="T45" i="34"/>
  <c r="T61" i="34"/>
  <c r="T49" i="34"/>
  <c r="AB6" i="21"/>
  <c r="AB4" i="21"/>
  <c r="AB25" i="21"/>
  <c r="AB18" i="21"/>
  <c r="T76" i="34"/>
  <c r="T38" i="34"/>
  <c r="T21" i="34"/>
  <c r="T24" i="34"/>
  <c r="T18" i="34"/>
  <c r="T31" i="34"/>
  <c r="AB10" i="21"/>
  <c r="AB23" i="21"/>
  <c r="T42" i="34"/>
  <c r="T30" i="34"/>
  <c r="T54" i="34"/>
  <c r="T60" i="34"/>
  <c r="AB12" i="21"/>
  <c r="AB22" i="21"/>
  <c r="T19" i="34"/>
  <c r="T57" i="34"/>
  <c r="T69" i="34"/>
  <c r="T68" i="34"/>
  <c r="AB7" i="21"/>
  <c r="T36" i="34"/>
  <c r="T22" i="34"/>
  <c r="T65" i="34"/>
  <c r="T50" i="34"/>
  <c r="T16" i="34"/>
  <c r="T67" i="34"/>
  <c r="T64" i="34"/>
  <c r="T23" i="34"/>
  <c r="T39" i="34"/>
  <c r="T74" i="34"/>
  <c r="AB15" i="21"/>
  <c r="AB9" i="21"/>
  <c r="AB11" i="21"/>
  <c r="AB24" i="21"/>
  <c r="AB19" i="21"/>
  <c r="T72" i="34"/>
  <c r="T44" i="34"/>
  <c r="T62" i="34"/>
  <c r="T75" i="34"/>
  <c r="T55" i="34"/>
  <c r="AB14" i="21"/>
  <c r="AB5" i="21"/>
  <c r="AB16" i="21"/>
  <c r="T56" i="34"/>
  <c r="T53" i="34"/>
  <c r="T48" i="34"/>
  <c r="T43" i="34"/>
  <c r="T26" i="34"/>
  <c r="T63" i="34"/>
  <c r="T25" i="34"/>
  <c r="T40" i="34"/>
  <c r="T32" i="34"/>
  <c r="AB21" i="21"/>
  <c r="T70" i="34"/>
  <c r="T59" i="34"/>
  <c r="C5" i="22" l="1"/>
  <c r="D5" i="22" s="1"/>
  <c r="C5" i="43"/>
  <c r="D5" i="43" s="1"/>
  <c r="C4" i="22"/>
  <c r="D4" i="22" s="1"/>
  <c r="C4" i="43"/>
  <c r="D4" i="43" s="1"/>
  <c r="C10" i="43"/>
  <c r="D10" i="43" s="1"/>
  <c r="C10" i="22"/>
  <c r="D10" i="22" s="1"/>
  <c r="C22" i="43"/>
  <c r="D22" i="43" s="1"/>
  <c r="C15" i="22"/>
  <c r="D15" i="22" s="1"/>
  <c r="C22" i="22"/>
  <c r="D22" i="22" s="1"/>
  <c r="C15" i="43"/>
  <c r="D15" i="43" s="1"/>
  <c r="B9" i="43"/>
  <c r="C9" i="43" s="1"/>
  <c r="D9" i="43" s="1"/>
  <c r="B9" i="22"/>
  <c r="C9" i="22" s="1"/>
  <c r="D9" i="22" s="1"/>
  <c r="B6" i="22"/>
  <c r="B16" i="43"/>
  <c r="C16" i="43" s="1"/>
  <c r="D16" i="43" s="1"/>
  <c r="B16" i="22"/>
  <c r="C16" i="22" s="1"/>
  <c r="D16" i="22" s="1"/>
  <c r="B26" i="22"/>
  <c r="C26" i="22" s="1"/>
  <c r="D26" i="22" s="1"/>
  <c r="B26" i="43"/>
  <c r="C26" i="43" s="1"/>
  <c r="D26" i="43" s="1"/>
  <c r="B13" i="43"/>
  <c r="C13" i="43" s="1"/>
  <c r="D13" i="43" s="1"/>
  <c r="B13" i="22"/>
  <c r="C13" i="22" s="1"/>
  <c r="D13" i="22" s="1"/>
  <c r="B17" i="43"/>
  <c r="C17" i="43" s="1"/>
  <c r="D17" i="43" s="1"/>
  <c r="B17" i="22"/>
  <c r="C17" i="22" s="1"/>
  <c r="D17" i="22" s="1"/>
  <c r="B23" i="43"/>
  <c r="C23" i="43" s="1"/>
  <c r="D23" i="43" s="1"/>
  <c r="B23" i="22"/>
  <c r="C23" i="22" s="1"/>
  <c r="D23" i="22" s="1"/>
  <c r="B12" i="43"/>
  <c r="C12" i="43" s="1"/>
  <c r="D12" i="43" s="1"/>
  <c r="B12" i="22"/>
  <c r="C12" i="22" s="1"/>
  <c r="D12" i="22" s="1"/>
  <c r="B11" i="43"/>
  <c r="C11" i="43" s="1"/>
  <c r="D11" i="43" s="1"/>
  <c r="B11" i="22"/>
  <c r="C11" i="22" s="1"/>
  <c r="D11" i="22" s="1"/>
  <c r="B18" i="22"/>
  <c r="C18" i="22" s="1"/>
  <c r="D18" i="22" s="1"/>
  <c r="B18" i="43"/>
  <c r="C18" i="43" s="1"/>
  <c r="D18" i="43" s="1"/>
  <c r="B24" i="22"/>
  <c r="C24" i="22" s="1"/>
  <c r="D24" i="22" s="1"/>
  <c r="B24" i="43"/>
  <c r="C24" i="43" s="1"/>
  <c r="D24" i="43" s="1"/>
  <c r="B25" i="43"/>
  <c r="C25" i="43" s="1"/>
  <c r="D25" i="43" s="1"/>
  <c r="B25" i="22"/>
  <c r="C25" i="22" s="1"/>
  <c r="D25" i="22" s="1"/>
  <c r="B8" i="22"/>
  <c r="C8" i="22" s="1"/>
  <c r="D8" i="22" s="1"/>
  <c r="B8" i="43"/>
  <c r="C8" i="43" s="1"/>
  <c r="D8" i="43" s="1"/>
  <c r="B28" i="43"/>
  <c r="C28" i="43" s="1"/>
  <c r="D28" i="43" s="1"/>
  <c r="B28" i="22"/>
  <c r="C28" i="22" s="1"/>
  <c r="D28" i="22" s="1"/>
  <c r="B20" i="43"/>
  <c r="C20" i="43" s="1"/>
  <c r="D20" i="43" s="1"/>
  <c r="B20" i="22"/>
  <c r="C20" i="22" s="1"/>
  <c r="D20" i="22" s="1"/>
  <c r="B27" i="43"/>
  <c r="C27" i="43" s="1"/>
  <c r="D27" i="43" s="1"/>
  <c r="B27" i="22"/>
  <c r="C27" i="22" s="1"/>
  <c r="D27" i="22" s="1"/>
  <c r="B14" i="22"/>
  <c r="C14" i="22" s="1"/>
  <c r="D14" i="22" s="1"/>
  <c r="B14" i="43"/>
  <c r="C14" i="43" s="1"/>
  <c r="D14" i="43" s="1"/>
  <c r="B19" i="22"/>
  <c r="C19" i="22" s="1"/>
  <c r="D19" i="22" s="1"/>
  <c r="B19" i="43"/>
  <c r="C19" i="43" s="1"/>
  <c r="D19" i="43" s="1"/>
  <c r="B21" i="22"/>
  <c r="C21" i="22" s="1"/>
  <c r="D21" i="22" s="1"/>
  <c r="B21" i="43"/>
  <c r="C21" i="43" s="1"/>
  <c r="D21" i="43" s="1"/>
  <c r="B6" i="43"/>
  <c r="C6" i="43" s="1"/>
  <c r="D6" i="43" s="1"/>
  <c r="AB7" i="22"/>
  <c r="AB17" i="22"/>
  <c r="AB25" i="22"/>
  <c r="AB18" i="22"/>
  <c r="B7" i="22"/>
  <c r="C7" i="22" s="1"/>
  <c r="D7" i="22" s="1"/>
  <c r="AB13" i="22"/>
  <c r="AB15" i="22"/>
  <c r="AB12" i="22"/>
  <c r="AB11" i="22"/>
  <c r="AB10" i="22"/>
  <c r="AB20" i="22"/>
  <c r="AB16" i="22"/>
  <c r="AB19" i="22"/>
  <c r="AB8" i="22"/>
  <c r="AB14" i="22"/>
  <c r="AB9" i="22"/>
  <c r="AB21" i="22"/>
  <c r="AB23" i="22"/>
  <c r="AB22" i="22"/>
  <c r="AB24" i="22"/>
  <c r="B7" i="43"/>
  <c r="C7" i="43" s="1"/>
  <c r="D7" i="43" s="1"/>
  <c r="C6" i="22" l="1"/>
  <c r="D6" i="22" s="1"/>
  <c r="AD17" i="22"/>
  <c r="AI17" i="22" s="1"/>
  <c r="AD12" i="22"/>
  <c r="AD19" i="22"/>
  <c r="AI19" i="22" s="1"/>
  <c r="AD22" i="22"/>
  <c r="AJ22" i="22" s="1"/>
  <c r="AD6" i="22"/>
  <c r="AD13" i="22"/>
  <c r="AI13" i="22" s="1"/>
  <c r="AD24" i="22"/>
  <c r="AJ24" i="22" s="1"/>
  <c r="AD8" i="22"/>
  <c r="AH8" i="22" s="1"/>
  <c r="AD15" i="22"/>
  <c r="AI15" i="22" s="1"/>
  <c r="AD18" i="22"/>
  <c r="AI18" i="22" s="1"/>
  <c r="AD25" i="22"/>
  <c r="AJ25" i="22" s="1"/>
  <c r="AD9" i="22"/>
  <c r="AH9" i="22" s="1"/>
  <c r="AD20" i="22"/>
  <c r="AJ20" i="22" s="1"/>
  <c r="AD4" i="22"/>
  <c r="AD11" i="22"/>
  <c r="AD14" i="22"/>
  <c r="AI14" i="22" s="1"/>
  <c r="AD21" i="22"/>
  <c r="AJ21" i="22" s="1"/>
  <c r="AD5" i="22"/>
  <c r="AD16" i="22"/>
  <c r="AI16" i="22" s="1"/>
  <c r="AD23" i="22"/>
  <c r="AJ23" i="22" s="1"/>
  <c r="AD7" i="22"/>
  <c r="AH7" i="22" s="1"/>
  <c r="AD10" i="22"/>
  <c r="AH10" i="22" s="1"/>
  <c r="AI12" i="22" l="1"/>
  <c r="AI11" i="22"/>
  <c r="Q4" i="21" l="1"/>
  <c r="Q3" i="21"/>
  <c r="Q2" i="21"/>
  <c r="AA5" i="22" l="1"/>
  <c r="AA4" i="22"/>
  <c r="AB4" i="22"/>
  <c r="AA6" i="22"/>
  <c r="AC5" i="22" l="1"/>
  <c r="F6" i="22" s="1"/>
  <c r="G6" i="22" s="1"/>
  <c r="AC6" i="22"/>
  <c r="F7" i="22" s="1"/>
  <c r="F14" i="22"/>
  <c r="G14" i="22" s="1"/>
  <c r="F13" i="22"/>
  <c r="G13" i="22" s="1"/>
  <c r="F8" i="22"/>
  <c r="F16" i="22"/>
  <c r="G16" i="22" s="1"/>
  <c r="AF14" i="22"/>
  <c r="F18" i="22"/>
  <c r="G18" i="22" s="1"/>
  <c r="AF16" i="22"/>
  <c r="F20" i="22"/>
  <c r="G20" i="22" s="1"/>
  <c r="AF18" i="22"/>
  <c r="F19" i="22"/>
  <c r="G19" i="22" s="1"/>
  <c r="AF17" i="22"/>
  <c r="F17" i="22"/>
  <c r="G17" i="22" s="1"/>
  <c r="AF15" i="22"/>
  <c r="F15" i="22"/>
  <c r="G15" i="22" s="1"/>
  <c r="AF13" i="22"/>
  <c r="F10" i="22"/>
  <c r="AE9" i="22"/>
  <c r="F11" i="22"/>
  <c r="G11" i="22" s="1"/>
  <c r="AE10" i="22"/>
  <c r="AB5" i="22"/>
  <c r="AF12" i="22"/>
  <c r="AF11" i="22"/>
  <c r="AH4" i="22"/>
  <c r="AE7" i="22"/>
  <c r="AB6" i="22"/>
  <c r="AE5" i="22" l="1"/>
  <c r="AH5" i="22"/>
  <c r="G7" i="22"/>
  <c r="AH6" i="22"/>
  <c r="AE6" i="22"/>
  <c r="G8" i="22" l="1"/>
  <c r="AG25" i="22" l="1"/>
  <c r="F28" i="22" l="1"/>
  <c r="G28" i="22" l="1"/>
  <c r="AG24" i="22" l="1"/>
  <c r="AF19" i="22"/>
  <c r="AG20" i="22"/>
  <c r="F23" i="22" l="1"/>
  <c r="F27" i="22"/>
  <c r="G27" i="22" s="1"/>
  <c r="F21" i="22"/>
  <c r="AG21" i="22"/>
  <c r="AG23" i="22" l="1"/>
  <c r="G23" i="22"/>
  <c r="AG22" i="22" l="1"/>
  <c r="F24" i="22"/>
  <c r="G24" i="22" s="1"/>
  <c r="F26" i="22"/>
  <c r="G26" i="22" s="1"/>
  <c r="F25" i="22"/>
  <c r="G25" i="22" s="1"/>
  <c r="G21" i="22"/>
  <c r="AR6" i="22" l="1"/>
  <c r="F22" i="22" s="1"/>
  <c r="AR5" i="22"/>
  <c r="F12" i="22" s="1"/>
  <c r="AE8" i="22"/>
  <c r="G10" i="22" l="1"/>
  <c r="F9" i="22"/>
  <c r="G9" i="22" s="1"/>
  <c r="P8" i="56" l="1"/>
  <c r="Q8" i="56" s="1"/>
  <c r="R2" i="21"/>
  <c r="AC4" i="22" l="1"/>
  <c r="N8" i="56"/>
  <c r="O8" i="56" s="1"/>
  <c r="G8" i="56" s="1"/>
  <c r="R8" i="56"/>
  <c r="S2" i="21"/>
  <c r="AE4" i="22" l="1"/>
  <c r="F5" i="22"/>
  <c r="G5" i="22" s="1"/>
  <c r="AR4" i="22" s="1"/>
  <c r="F4" i="22" l="1"/>
</calcChain>
</file>

<file path=xl/sharedStrings.xml><?xml version="1.0" encoding="utf-8"?>
<sst xmlns="http://schemas.openxmlformats.org/spreadsheetml/2006/main" count="393" uniqueCount="244">
  <si>
    <t>Comments</t>
  </si>
  <si>
    <t>Don't know</t>
  </si>
  <si>
    <t>Not yet answered</t>
  </si>
  <si>
    <t>Introduction</t>
  </si>
  <si>
    <t>Acknowledgements</t>
  </si>
  <si>
    <t>Warning</t>
  </si>
  <si>
    <t>This Guide has been produced with care and to the best of our ability. However, CREST accepts no responsibility for any problems or incidents arising from its use.</t>
  </si>
  <si>
    <t>Guidelines</t>
  </si>
  <si>
    <t>Weighting</t>
  </si>
  <si>
    <t>x 1</t>
  </si>
  <si>
    <t>x 2</t>
  </si>
  <si>
    <t>x 3</t>
  </si>
  <si>
    <t>Target maturity (1 to 5)</t>
  </si>
  <si>
    <t>target</t>
  </si>
  <si>
    <t>CSIR</t>
  </si>
  <si>
    <t>Agriculture, Forestry, Fishing and Hunting</t>
  </si>
  <si>
    <t>Mining, Quarrying, and Oil and Gas Extraction</t>
  </si>
  <si>
    <t>Utilities</t>
  </si>
  <si>
    <t>Construction</t>
  </si>
  <si>
    <t>Manufacturing</t>
  </si>
  <si>
    <t>Wholesale Trade</t>
  </si>
  <si>
    <t>Retail Trade</t>
  </si>
  <si>
    <t>Transportation and Warehousing</t>
  </si>
  <si>
    <t>Information</t>
  </si>
  <si>
    <t>Insurance</t>
  </si>
  <si>
    <t>Real Estate and Rental and Leasing</t>
  </si>
  <si>
    <t>Professional, Scientific, and Technical Services</t>
  </si>
  <si>
    <t>Management of Companies and Enterprises</t>
  </si>
  <si>
    <t>Administrative and Support and Waste Management and Remediation Services</t>
  </si>
  <si>
    <t>Educational Services</t>
  </si>
  <si>
    <t>Health Care and Social Assistance</t>
  </si>
  <si>
    <t>Arts, Entertainment, and Recreation</t>
  </si>
  <si>
    <t>Accommodation and Food Services</t>
  </si>
  <si>
    <t>Other Services (except Public Administration)</t>
  </si>
  <si>
    <t>Public Administration</t>
  </si>
  <si>
    <t>Not selected</t>
  </si>
  <si>
    <t>Level 1</t>
  </si>
  <si>
    <t>Level 2</t>
  </si>
  <si>
    <t>Level 3</t>
  </si>
  <si>
    <t>Level 4</t>
  </si>
  <si>
    <t>Level 5</t>
  </si>
  <si>
    <t>Merchant banking</t>
  </si>
  <si>
    <t>Retail banking</t>
  </si>
  <si>
    <t>Investment banking</t>
  </si>
  <si>
    <t>Card services</t>
  </si>
  <si>
    <t>Other banking services</t>
  </si>
  <si>
    <t>Other financial services</t>
  </si>
  <si>
    <t>Response</t>
  </si>
  <si>
    <t>Evidence supplied</t>
  </si>
  <si>
    <t>Level 1 (%)</t>
  </si>
  <si>
    <t>Level 2 (%)</t>
  </si>
  <si>
    <t>Level 3 (%)</t>
  </si>
  <si>
    <t>Level 4 (%)</t>
  </si>
  <si>
    <t>Level 5 (%)</t>
  </si>
  <si>
    <t>9-30</t>
  </si>
  <si>
    <t>31-70</t>
  </si>
  <si>
    <t>71-92</t>
  </si>
  <si>
    <t>93-100</t>
  </si>
  <si>
    <t>Business unit (or equivalent) *</t>
  </si>
  <si>
    <t>Sector *</t>
  </si>
  <si>
    <t>Date of assessment *</t>
  </si>
  <si>
    <t>Role or position *</t>
  </si>
  <si>
    <t>Level</t>
  </si>
  <si>
    <t>Step</t>
  </si>
  <si>
    <t>Q</t>
  </si>
  <si>
    <t>subQ</t>
  </si>
  <si>
    <t>Text</t>
  </si>
  <si>
    <t>Order</t>
  </si>
  <si>
    <t>Phase</t>
  </si>
  <si>
    <t>Sub-heading</t>
  </si>
  <si>
    <t>Stub</t>
  </si>
  <si>
    <t>Type</t>
  </si>
  <si>
    <t>FullQ</t>
  </si>
  <si>
    <t>x 4</t>
  </si>
  <si>
    <t>x 5</t>
  </si>
  <si>
    <t>Overview</t>
  </si>
  <si>
    <t>Maturity model</t>
  </si>
  <si>
    <t>How to use the tool</t>
  </si>
  <si>
    <t>Weighting configuration</t>
  </si>
  <si>
    <t>Important</t>
  </si>
  <si>
    <t>Critical</t>
  </si>
  <si>
    <t>Custom</t>
  </si>
  <si>
    <t>Credits</t>
  </si>
  <si>
    <t xml:space="preserve">This tool has been developed for CREST by </t>
  </si>
  <si>
    <t>Penetration testing process</t>
  </si>
  <si>
    <r>
      <t xml:space="preserve">Instructions on how the tool works and how it can be used can be found on the </t>
    </r>
    <r>
      <rPr>
        <i/>
        <sz val="11"/>
        <color theme="1"/>
        <rFont val="Calibri"/>
        <family val="2"/>
        <scheme val="minor"/>
      </rPr>
      <t>Guidelines</t>
    </r>
    <r>
      <rPr>
        <sz val="11"/>
        <color theme="1"/>
        <rFont val="Calibri"/>
        <family val="2"/>
        <scheme val="minor"/>
      </rPr>
      <t xml:space="preserve"> worksheet.</t>
    </r>
  </si>
  <si>
    <t>CREST would like to extend its special thanks to those CREST member organisations and third parties who took part in interviews, participated in the workshop and completed questionnaires.</t>
  </si>
  <si>
    <t>© CREST 2016</t>
  </si>
  <si>
    <t xml:space="preserve">Consequently, the level of maturity your organisation has in penetration testing should be reviewed in context and compared to your actual requirements for such a capability. The maturity of your organisation can then be compared with other similar organisation to help determine if the level of maturity is appropriate. </t>
  </si>
  <si>
    <t>A weighting factor can be set to give the results for particular steps more importance than others. The selected levels of maturity are then displayed graphically for each of the three phases and overall. Calculations are based on a carefully designed algorithm that takes account of both the level of maturity selected for each step and the step's given weighting.</t>
  </si>
  <si>
    <t>A</t>
  </si>
  <si>
    <t>B</t>
  </si>
  <si>
    <t>C</t>
  </si>
  <si>
    <t>Establish a management assurance framework</t>
  </si>
  <si>
    <t>Stage</t>
  </si>
  <si>
    <t>Choose a set of targets by clicking on the radio buttons below.</t>
  </si>
  <si>
    <t>Standard</t>
  </si>
  <si>
    <t>0-7</t>
  </si>
  <si>
    <r>
      <rPr>
        <b/>
        <i/>
        <sz val="11"/>
        <color theme="1"/>
        <rFont val="Calibri"/>
        <family val="2"/>
        <scheme val="minor"/>
      </rPr>
      <t>Step 1</t>
    </r>
    <r>
      <rPr>
        <sz val="11"/>
        <color theme="1"/>
        <rFont val="Calibri"/>
        <family val="2"/>
        <scheme val="minor"/>
      </rPr>
      <t xml:space="preserve"> - Complete the details for the environment being assessed in the </t>
    </r>
    <r>
      <rPr>
        <i/>
        <sz val="11"/>
        <color theme="1"/>
        <rFont val="Calibri"/>
        <family val="2"/>
        <scheme val="minor"/>
      </rPr>
      <t>Profile and Scope</t>
    </r>
    <r>
      <rPr>
        <sz val="11"/>
        <color theme="1"/>
        <rFont val="Calibri"/>
        <family val="2"/>
        <scheme val="minor"/>
      </rPr>
      <t xml:space="preserve"> worksheet using the text boxes and drop-down lists provided. The name entered for </t>
    </r>
    <r>
      <rPr>
        <i/>
        <sz val="11"/>
        <color theme="1"/>
        <rFont val="Calibri"/>
        <family val="2"/>
        <scheme val="minor"/>
      </rPr>
      <t xml:space="preserve">Target of Assessment </t>
    </r>
    <r>
      <rPr>
        <sz val="11"/>
        <color theme="1"/>
        <rFont val="Calibri"/>
        <family val="2"/>
        <scheme val="minor"/>
      </rPr>
      <t xml:space="preserve">will automatically appear on the </t>
    </r>
    <r>
      <rPr>
        <i/>
        <sz val="11"/>
        <color theme="1"/>
        <rFont val="Calibri"/>
        <family val="2"/>
        <scheme val="minor"/>
      </rPr>
      <t>Results</t>
    </r>
    <r>
      <rPr>
        <sz val="11"/>
        <color theme="1"/>
        <rFont val="Calibri"/>
        <family val="2"/>
        <scheme val="minor"/>
      </rPr>
      <t xml:space="preserve"> worksheets.</t>
    </r>
  </si>
  <si>
    <t>Name of organisation *</t>
  </si>
  <si>
    <t>Name of internal penetration testing coordinator *</t>
  </si>
  <si>
    <t>A1</t>
  </si>
  <si>
    <t>A2</t>
  </si>
  <si>
    <t>A3</t>
  </si>
  <si>
    <t>A4</t>
  </si>
  <si>
    <t>A5</t>
  </si>
  <si>
    <t>A6</t>
  </si>
  <si>
    <t>A7</t>
  </si>
  <si>
    <t>A8</t>
  </si>
  <si>
    <t>Size of business *</t>
  </si>
  <si>
    <t>Very large</t>
  </si>
  <si>
    <t>Large</t>
  </si>
  <si>
    <t>Medium or small</t>
  </si>
  <si>
    <t>Very small</t>
  </si>
  <si>
    <t>High risk significant impact business</t>
  </si>
  <si>
    <t>Higher risk business</t>
  </si>
  <si>
    <t>Medium risk business</t>
  </si>
  <si>
    <t>Low risk business</t>
  </si>
  <si>
    <t>Very low risk business</t>
  </si>
  <si>
    <t>Type of business *</t>
  </si>
  <si>
    <t>Benchmark</t>
  </si>
  <si>
    <t>Penetration Testing Management
Maturity Assessment Tool</t>
  </si>
  <si>
    <t>*</t>
  </si>
  <si>
    <t>Have you identified target environments that need to be subject to penetration testing, such as critical web applications and important IT infrastructure?</t>
  </si>
  <si>
    <t>Do you define formal requirements for penetration testing carried out in your organisation?</t>
  </si>
  <si>
    <t>Do follow-up activities include analysing and addressing the root causes of weaknesses identified in penetration testing?</t>
  </si>
  <si>
    <t>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t>
  </si>
  <si>
    <t>Extra Step text</t>
  </si>
  <si>
    <t>Define the purpose of the penetration tests</t>
  </si>
  <si>
    <t>Identify testing constraints</t>
  </si>
  <si>
    <t>Use an effective testing methodology</t>
  </si>
  <si>
    <t>Address root causes of weaknesses</t>
  </si>
  <si>
    <t>response index</t>
  </si>
  <si>
    <t>Target</t>
  </si>
  <si>
    <t xml:space="preserve"> </t>
  </si>
  <si>
    <t>Benchmark Rating</t>
  </si>
  <si>
    <t>Introductory</t>
  </si>
  <si>
    <r>
      <t xml:space="preserve">Organisation / business unit
</t>
    </r>
    <r>
      <rPr>
        <i/>
        <sz val="10"/>
        <rFont val="Calibri"/>
        <family val="2"/>
        <scheme val="minor"/>
      </rPr>
      <t>All fields marked * MUST be completed</t>
    </r>
  </si>
  <si>
    <r>
      <rPr>
        <b/>
        <i/>
        <sz val="11"/>
        <color theme="1"/>
        <rFont val="Calibri"/>
        <family val="2"/>
        <scheme val="minor"/>
      </rPr>
      <t>Step 2</t>
    </r>
    <r>
      <rPr>
        <sz val="11"/>
        <color theme="1"/>
        <rFont val="Calibri"/>
        <family val="2"/>
        <scheme val="minor"/>
      </rPr>
      <t xml:space="preserve"> - On the </t>
    </r>
    <r>
      <rPr>
        <i/>
        <sz val="11"/>
        <color theme="1"/>
        <rFont val="Calibri"/>
        <family val="2"/>
        <scheme val="minor"/>
      </rPr>
      <t>Targets</t>
    </r>
    <r>
      <rPr>
        <sz val="11"/>
        <color theme="1"/>
        <rFont val="Calibri"/>
        <family val="2"/>
        <scheme val="minor"/>
      </rPr>
      <t xml:space="preserve"> Worksheet, select the target level required for this assessment by pressing the radar button next to any of the six options available, which are:
  </t>
    </r>
    <r>
      <rPr>
        <b/>
        <i/>
        <sz val="11"/>
        <color theme="1"/>
        <rFont val="Calibri"/>
        <family val="2"/>
        <scheme val="minor"/>
      </rPr>
      <t>Introductory</t>
    </r>
    <r>
      <rPr>
        <sz val="11"/>
        <color theme="1"/>
        <rFont val="Calibri"/>
        <family val="2"/>
        <scheme val="minor"/>
      </rPr>
      <t xml:space="preserve"> - which sets a target of 2 out of 5 across the board
  </t>
    </r>
    <r>
      <rPr>
        <b/>
        <i/>
        <sz val="11"/>
        <color theme="1"/>
        <rFont val="Calibri"/>
        <family val="2"/>
        <scheme val="minor"/>
      </rPr>
      <t>Standard</t>
    </r>
    <r>
      <rPr>
        <sz val="11"/>
        <color theme="1"/>
        <rFont val="Calibri"/>
        <family val="2"/>
        <scheme val="minor"/>
      </rPr>
      <t xml:space="preserve"> - which sets a target of 2 out of 5 across the board
  </t>
    </r>
    <r>
      <rPr>
        <b/>
        <i/>
        <sz val="11"/>
        <color theme="1"/>
        <rFont val="Calibri"/>
        <family val="2"/>
        <scheme val="minor"/>
      </rPr>
      <t>Important</t>
    </r>
    <r>
      <rPr>
        <sz val="11"/>
        <color theme="1"/>
        <rFont val="Calibri"/>
        <family val="2"/>
        <scheme val="minor"/>
      </rPr>
      <t xml:space="preserve"> - which sets a target of 3 out of 5 across the board
  </t>
    </r>
    <r>
      <rPr>
        <b/>
        <i/>
        <sz val="11"/>
        <color theme="1"/>
        <rFont val="Calibri"/>
        <family val="2"/>
        <scheme val="minor"/>
      </rPr>
      <t>Very important</t>
    </r>
    <r>
      <rPr>
        <sz val="11"/>
        <color theme="1"/>
        <rFont val="Calibri"/>
        <family val="2"/>
        <scheme val="minor"/>
      </rPr>
      <t xml:space="preserve"> - which sets a target of 4 out of 5 across the board
  </t>
    </r>
    <r>
      <rPr>
        <b/>
        <i/>
        <sz val="11"/>
        <color theme="1"/>
        <rFont val="Calibri"/>
        <family val="2"/>
        <scheme val="minor"/>
      </rPr>
      <t>Critical</t>
    </r>
    <r>
      <rPr>
        <sz val="11"/>
        <color theme="1"/>
        <rFont val="Calibri"/>
        <family val="2"/>
        <scheme val="minor"/>
      </rPr>
      <t xml:space="preserve"> - which sets a target of 5 out of 5 across the board
  </t>
    </r>
    <r>
      <rPr>
        <b/>
        <i/>
        <sz val="11"/>
        <color theme="1"/>
        <rFont val="Calibri"/>
        <family val="2"/>
        <scheme val="minor"/>
      </rPr>
      <t>Custom</t>
    </r>
    <r>
      <rPr>
        <sz val="11"/>
        <color theme="1"/>
        <rFont val="Calibri"/>
        <family val="2"/>
        <scheme val="minor"/>
      </rPr>
      <t xml:space="preserve"> - which allows you to overwrite any of the individual settings in the </t>
    </r>
    <r>
      <rPr>
        <i/>
        <sz val="11"/>
        <color theme="1"/>
        <rFont val="Calibri"/>
        <family val="2"/>
        <scheme val="minor"/>
      </rPr>
      <t>Custom</t>
    </r>
    <r>
      <rPr>
        <sz val="11"/>
        <color theme="1"/>
        <rFont val="Calibri"/>
        <family val="2"/>
        <scheme val="minor"/>
      </rPr>
      <t xml:space="preserve"> column on the far right.
These target ratings will show up in all the </t>
    </r>
    <r>
      <rPr>
        <i/>
        <sz val="11"/>
        <color theme="1"/>
        <rFont val="Calibri"/>
        <family val="2"/>
        <scheme val="minor"/>
      </rPr>
      <t>Results</t>
    </r>
    <r>
      <rPr>
        <sz val="11"/>
        <color theme="1"/>
        <rFont val="Calibri"/>
        <family val="2"/>
        <scheme val="minor"/>
      </rPr>
      <t xml:space="preserve"> worksheets allowing you to compare actual performance against targets.</t>
    </r>
  </si>
  <si>
    <t>Very important</t>
  </si>
  <si>
    <t>Maturity score</t>
  </si>
  <si>
    <t>Preparation</t>
  </si>
  <si>
    <t>Maintain a technical security assurance framework</t>
  </si>
  <si>
    <t>Establish a penetration testing governance structure</t>
  </si>
  <si>
    <t>Have you established a suitable governance structure to oversee and coordinate a regular penetration testing programme?</t>
  </si>
  <si>
    <t>Evaluate drivers for conducting penetration tests</t>
  </si>
  <si>
    <t>Identify target environments</t>
  </si>
  <si>
    <t>Produce requirements specifications</t>
  </si>
  <si>
    <t>Testing</t>
  </si>
  <si>
    <t>Agree testing style and type</t>
  </si>
  <si>
    <t>Produce scope statements</t>
  </si>
  <si>
    <t>When conducting penetration tests do you use a systematic, structured testing methodology?</t>
  </si>
  <si>
    <t>Conduct sufficient research and planning</t>
  </si>
  <si>
    <t>Identify and exploit vulnerabilities</t>
  </si>
  <si>
    <t>Report key findings</t>
  </si>
  <si>
    <t>Follow up</t>
  </si>
  <si>
    <t>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t>
  </si>
  <si>
    <t>Target level configuration</t>
  </si>
  <si>
    <t>Maturity level (1 to 5)</t>
  </si>
  <si>
    <t>level</t>
  </si>
  <si>
    <t>Foundation</t>
  </si>
  <si>
    <t>Emerging</t>
  </si>
  <si>
    <t>Established</t>
  </si>
  <si>
    <t>Dynamic</t>
  </si>
  <si>
    <t>Optimised</t>
  </si>
  <si>
    <t>Do you maintain an approved technical security assurance framework, which is focused on protecting your most critical information and systems?</t>
  </si>
  <si>
    <t>An effective governance structure for penetration testing would typically cover all main systems enterprise-wide (while focusing on the most critical), through a penetration testing programme that includes penetration testing processes and methodologies, supplier selection criteria, and a penetration testing assurance management framework; supported by a joint management and technical team to agree the programme and scope of regular penetration testing, an effective change management process and a set of key performance indicators for the results of the penetration tests.</t>
  </si>
  <si>
    <t>Have you identified drivers for carrying out penetration tests as part of a technical assurance programme, based on an evaluation of relevant criteria, such as the impact of serious incidents, increased threat levels or significant changes to business or IT processes?</t>
  </si>
  <si>
    <t>Drivers for carrying out penetration tests should: be placed within a wider context of security assessment and strategy to contextualise the findings and recommendations; focus on ensuring that major system vulnerabilities are identified and addressed; and help to reduce the risk of discovering that the same problems still exist the next time a penetration test is carried out.</t>
  </si>
  <si>
    <t>Identification of target environments that need to be subject to penetration testing should take account of a wide range of factors including compliance requirements, system criticality and significant changes to critical business processes, as well as being built into relevant stages of systems under development.</t>
  </si>
  <si>
    <t>Do you define the purpose of penetration tests, evaluating the potential benefits to your organisation?</t>
  </si>
  <si>
    <t>Identifying the purpose of penetration tests should include assessing whether these tests can help your organisation to meet requirements (e.g. identify weaknesses in your security controls; reduce the frequency and impact of security incidents; comply with legal and regulatory requirements); and realise potential benefits (e.g. IT cost reductions; technical and business improvements; greater awareness of security risks and controls) – whilst taking account of any testing limitations or difficulties.</t>
  </si>
  <si>
    <t>Requirements for penetration testing should include consideration of important business applications, key IT infrastructure and confidential data; validation that tests are legal and will not compromise confidential data; and the need for tests to be recorded, reviewed and signed-off.</t>
  </si>
  <si>
    <t>Do you appoint suitable third party suppliers to undertake independent penetration testing (based on defined requirements, benefit evaluation, specified supplier selection criteria and validation of the supplier’s ability to meet your specific requirements)?</t>
  </si>
  <si>
    <t>Effective supplier selection criteria should be used to determine if potential suppliers can satisfactorily meet your specific testing requirements, based on their ability to provide: solid reputation, history and ethics; high quality, value-for-money services; research and development capability; highly competent, technical testers; and security and risk management, supported by a strong professional accreditation and complaint process.</t>
  </si>
  <si>
    <t>Do you determine what style of penetration testing is required (e.g. black, grey or white box testing; internal or external testing) and what type of testing is to be performed?</t>
  </si>
  <si>
    <t>Do you identify any testing constraints associated with planned penetration testing?</t>
  </si>
  <si>
    <t>Testing constraints can include: aspects of the business that cannot be tested due to operational and technical limitations; legal, resourcing or time restrictions; and the likelihood that most penetration testing will not find all vulnerabilities of a given environment.</t>
  </si>
  <si>
    <t>Do you produce formal scope statements for penetration testing, supported by defined reporting requirements, prior to tests commencing?</t>
  </si>
  <si>
    <t>The scope of penetration tests should: be recorded in a formal document, such as a scope statement, that is signed-off by all relevant parties; include a definition of the target environment; specify resourcing requirements; define liabilities; include follow-up activities; and authorise testing to be conducted. Reporting requirements should specify the format and type of content, when the test report will be delivered, how the test report will be delivered (electronic and / or physical); and arrangements should be made to ensure that your service provider will meet your requirements in a satisfactory manner.</t>
  </si>
  <si>
    <t>Have you created a documented management assurance framework to help govern all aspects of the penetration test, ensuring that testing meets requirements and testing scope is documented in a comprehensive agreement, defined in a legally binding contact and signed off by all relevant parties before testing starts?</t>
  </si>
  <si>
    <t>Have you implemented effective risk, change and problem management processes that apply to all aspects of penetration testing?</t>
  </si>
  <si>
    <t>Methods of keeping risks to a minimum include: carrying out planning in advance; having a clear definition of scope; using predefined escalation procedures; supported by the use of individual testers with relevant experience and qualifications, working for certified organisations. An effective change management process should: cover changes to the scope of the penetration test, organisational controls and the individuals on the testing team; ensure that all parties involved adhere to the process and that changes to penetration testing are made quickly and efficiently. An effective problem management process should cover: tests not working as planned; problems caused as a result of the penetration testing; breaches of contract or codes of conduct; and effective, timely, problem resolution.</t>
  </si>
  <si>
    <t>A systematic, structured testing methodology should: be based on proven approaches designed by authoritative publicly available sources; detail specific evaluation or testing criteria; adhere to a standard common language and scope for performing penetration testing; and specify a required approach (or approaches) for carrying out all stages of a comprehensive end-to-end penetration test.</t>
  </si>
  <si>
    <t>Are detailed test plans produced to provide guidelines for the penetration testing to be undertaken, supported by research to imitate the research activities that a potential attacker could undertake to find out as much about the target environment and how it works as possible?</t>
  </si>
  <si>
    <t>Are findings identified during the penetration test reported to your organisation?</t>
  </si>
  <si>
    <t>Findings should be formally presented to your organisation by suppliers, who should provide details about: how testers found the vulnerabilities; what could be the outcome of each vulnerability; the level of risk to the business for each vulnerability; and advice on how to remediate each vulnerability.</t>
  </si>
  <si>
    <t>Do follow-up activities include remediating weaknesses found during the testing process, reducing the risk of them being exploited again?</t>
  </si>
  <si>
    <t>Root cause analysis should include: identifying the real root causes of exposures; evaluating potential business impact; identifying more endemic or fundamental root causes; involving qualified, experienced security professionals to help define corrective action strategy and plans.</t>
  </si>
  <si>
    <t>The improvement programme should be carried out in a structured / systematic manner: addressing root causes of weakness; evaluating penetration testing effectiveness; identifying lessons learned; applying good practice enterprise-wide; creating and monitoring action plans; and agreeing approaches for future testing.</t>
  </si>
  <si>
    <t>Is the effectiveness of your penetration tests evaluated?</t>
  </si>
  <si>
    <t>Does your penetration testing approach include identifying, recording, analysing and acting upon lessons learned, ensuring good practices are applied to other environments?</t>
  </si>
  <si>
    <t>Lessons learned before, during and after penetration tests have been conducted should be used to help in planning future tests and provide feedback to service providers to help them improve processes. Good practices identified as a result of penetration tests conducted for one environment should be applied to a wide range of other environments, and rolled out in a consistent and effective manner, fixing root causes endemically.</t>
  </si>
  <si>
    <t>Are action plans created to help act upon follow-up activities undertaken and used to provide input into the design and scope of future tests?</t>
  </si>
  <si>
    <t>Score</t>
  </si>
  <si>
    <r>
      <rPr>
        <i/>
        <sz val="11"/>
        <color theme="1"/>
        <rFont val="Calibri"/>
        <family val="2"/>
        <scheme val="minor"/>
      </rPr>
      <t>Note:</t>
    </r>
    <r>
      <rPr>
        <sz val="11"/>
        <color theme="1"/>
        <rFont val="Calibri"/>
        <family val="2"/>
        <scheme val="minor"/>
      </rPr>
      <t xml:space="preserve"> There two other </t>
    </r>
    <r>
      <rPr>
        <i/>
        <sz val="11"/>
        <color theme="1"/>
        <rFont val="Calibri"/>
        <family val="2"/>
        <scheme val="minor"/>
      </rPr>
      <t>Penetration Testing Maturity Assessment Tools</t>
    </r>
    <r>
      <rPr>
        <sz val="11"/>
        <color theme="1"/>
        <rFont val="Calibri"/>
        <family val="2"/>
        <scheme val="minor"/>
      </rPr>
      <t xml:space="preserve"> available, which are the:</t>
    </r>
  </si>
  <si>
    <t>• Requirements, testing and follow up</t>
  </si>
  <si>
    <t>Many organisations are extremely concerned about potential and actual cyber security attacks, both on their own organisations and in ones similar to them. Many of these attacks exploit weaknesses in an organisations applications and underlying infrastructure. To help identify these vulnerabilities effectively - and address them effectively - many organisations carry out penetration testing. However, establishing and managing a  penetration testing programme can be a very difficult task, even for the most advanced organisations. Each organisation should therefore develop an appropriate  penetration testing programme which will enable them to adopt a systematic, structured approach to undertaking  penetration testing.</t>
  </si>
  <si>
    <t>• People, programme, technology and information</t>
  </si>
  <si>
    <t>Penetration testing programme</t>
  </si>
  <si>
    <t>The assessment tool has been developed in conjunction with representatives from a broad range of organisations, including industry bodies, consumer organisations, the UK government and suppliers of expert technical security services. It provides you with an assessment against a maturity model that is based on the 15 steps within the 3 phase penetration testing management programme presented in the CREST Penetration Testing Management Guide, as shown in the diagram below.</t>
  </si>
  <si>
    <t xml:space="preserve">Your penetration testing programme should consist of appropriately skilled people guided by well-designed, repeatable programmes and effective use of relevant technologies that will enable you to conduct thorough penetration tests, successfully identifying and addressing vulnerabilities - and to prevent new ones from occurring. </t>
  </si>
  <si>
    <t>To carry out penetration testing effectively you will need to build an appropriate penetration testing programme the maturity of which can be assessed against an appropriate maturity model by using this assessment tool.</t>
  </si>
  <si>
    <t xml:space="preserve">Different types of organisation will require different levels of maturity for their penetration testing programme. For example, a small company operating in the retail business will not have the same requirement – or ability – to carry out  penetration tests in the same way as a major corporate organisation in the finance sector – or a government department. </t>
  </si>
  <si>
    <r>
      <rPr>
        <i/>
        <sz val="11"/>
        <color theme="1"/>
        <rFont val="Calibri"/>
        <family val="2"/>
        <scheme val="minor"/>
      </rPr>
      <t>Note:</t>
    </r>
    <r>
      <rPr>
        <sz val="11"/>
        <color theme="1"/>
        <rFont val="Calibri"/>
        <family val="2"/>
        <scheme val="minor"/>
      </rPr>
      <t xml:space="preserve"> The maturity of the  penetration testing programme can play a significant role in determining the level of third-party involvement required to conduct independent  penetration testing. Organisations with a mature penetration testing programme may manage most of their operations in-house, while those who are less mature may depend entirely on third parties.</t>
    </r>
  </si>
  <si>
    <t>• Intermediate assessment tool (no macros), which allows an assessment to be made to determine the level of maturity of your penetration testing programme in more depth.</t>
  </si>
  <si>
    <t>This assessment tool (which does not use macros) provides a mechanism for carrying out an assessment of the level of maturity an organisation has for their penetration testing programme at a high level. It can be used to assess the effectiveness of your penetration testing programme.</t>
  </si>
  <si>
    <t>Many organisations do not know how effective their penetration testing programme is in practice. One of the best ways to help determine the effectiveness of your programme is to measure the level of maturity of your penetration testing programme in terms of:</t>
  </si>
  <si>
    <t>The maturity model used in this tool is based on a traditional, proven model shown below. This model can be used to determine the level of maturity of your penetration testing programme, ranging from 1 (least effective) to 5 (most effective).</t>
  </si>
  <si>
    <t>This tool allows an assessment to be made to determine the level of maturity of an organisations’ penetration testing programme at a high level. It is based on a simple selection of the level of maturity for each of the 15 steps in the  three stages of the programme, aggregating results accordingly.</t>
  </si>
  <si>
    <r>
      <rPr>
        <b/>
        <i/>
        <sz val="11"/>
        <color theme="1"/>
        <rFont val="Calibri"/>
        <family val="2"/>
        <scheme val="minor"/>
      </rPr>
      <t>Note:</t>
    </r>
    <r>
      <rPr>
        <sz val="11"/>
        <color theme="1"/>
        <rFont val="Calibri"/>
        <family val="2"/>
        <scheme val="minor"/>
      </rPr>
      <t xml:space="preserve"> The penetration testing maturity assessment tool is one of a series of assessment tools developed by CREST, which include high level and detailed Cyber Security Incident Response Assessment Tools.</t>
    </r>
  </si>
  <si>
    <t>Implement management control processes</t>
  </si>
  <si>
    <r>
      <rPr>
        <b/>
        <i/>
        <sz val="11"/>
        <color theme="1"/>
        <rFont val="Calibri"/>
        <family val="2"/>
        <scheme val="minor"/>
      </rPr>
      <t xml:space="preserve">Step 5 </t>
    </r>
    <r>
      <rPr>
        <sz val="11"/>
        <color theme="1"/>
        <rFont val="Calibri"/>
        <family val="2"/>
        <scheme val="minor"/>
      </rPr>
      <t>- Review a summary of the results using the</t>
    </r>
    <r>
      <rPr>
        <i/>
        <sz val="11"/>
        <color theme="1"/>
        <rFont val="Calibri"/>
        <family val="2"/>
        <scheme val="minor"/>
      </rPr>
      <t xml:space="preserve"> Aggregated Results</t>
    </r>
    <r>
      <rPr>
        <sz val="11"/>
        <color theme="1"/>
        <rFont val="Calibri"/>
        <family val="2"/>
        <scheme val="minor"/>
      </rPr>
      <t xml:space="preserve"> worksheet to gain a high level picture of the overall level of maturity for the environment assessed.</t>
    </r>
  </si>
  <si>
    <r>
      <rPr>
        <b/>
        <i/>
        <sz val="11"/>
        <color theme="1"/>
        <rFont val="Calibri"/>
        <family val="2"/>
        <scheme val="minor"/>
      </rPr>
      <t xml:space="preserve">Step 4 </t>
    </r>
    <r>
      <rPr>
        <sz val="11"/>
        <color theme="1"/>
        <rFont val="Calibri"/>
        <family val="2"/>
        <scheme val="minor"/>
      </rPr>
      <t>- Carry out the assessment by selecting the appropriate level of maturity within the assessed environment for each step using the drop-down lists on the 3 A</t>
    </r>
    <r>
      <rPr>
        <i/>
        <sz val="11"/>
        <color theme="1"/>
        <rFont val="Calibri"/>
        <family val="2"/>
        <scheme val="minor"/>
      </rPr>
      <t>ssessment</t>
    </r>
    <r>
      <rPr>
        <sz val="11"/>
        <color theme="1"/>
        <rFont val="Calibri"/>
        <family val="2"/>
        <scheme val="minor"/>
      </rPr>
      <t xml:space="preserve"> worksheets, together with any supporting evidence. Any additional comments can be entered in the </t>
    </r>
    <r>
      <rPr>
        <i/>
        <sz val="11"/>
        <color theme="1"/>
        <rFont val="Calibri"/>
        <family val="2"/>
        <scheme val="minor"/>
      </rPr>
      <t>Comments</t>
    </r>
    <r>
      <rPr>
        <sz val="11"/>
        <color theme="1"/>
        <rFont val="Calibri"/>
        <family val="2"/>
        <scheme val="minor"/>
      </rPr>
      <t xml:space="preserve"> column.</t>
    </r>
  </si>
  <si>
    <t>A technical security assurance framework would typically include multiple environments for testing, a security architecture, an ongoing security monitoring services (e.g. in a SOC), an adequate range of technical security services and a balanced selection of preventative, detective and reactive security controls; supported by sufficient budget, skilled resources, processes, tools and technologies, adequate management support and an IT or Cyber security risk management programme.</t>
  </si>
  <si>
    <t>The management assurance framework should provide assurance to stakeholders that: the objectives of penetration tests are achieved; contracts with service providers are defined, agreed, signed off and monitored; risks to your organisation (e.g. degradation or loss of services; disclosure of sensitive information) are kept to a minimum; changes to testing scope are managed effectively; and that any problems are resolved satisfactorily.</t>
  </si>
  <si>
    <t>Your assurance process should help you to effectively monitor requirements definitions, planning and preparation, as well as performance of the actual testing; and define control processes over all important management aspects of testing. The penetration testing contract should specify explicit exclusions (e.g. systems that are out of scope); any technical and operational constraints; roles and responsibilities for all parties’ concerned; and specific legal / regulatory requirements; together with specific timings and checkpoints; a problem escalation process; post-test corrective action strategy and action plan development; supported by agreed pricing and terms of business.</t>
  </si>
  <si>
    <t>Vulnerability identification and exploitation typically include testers examining: Attack avenues, vectors and threat agents; results from threat analysis; technical system / network / application vulnerabilities; and control weaknesses - supported by a range of techniques (e.g. exploit techniques; escalation techniques; advancement techniques; and analysis techniques) to try and take advantage of specific weaknesses.</t>
  </si>
  <si>
    <t>When determining the style of penetration testing to be part of the scope, you should: evaluate the need for black, grey or white box testing; consider the use of an ‘external’ penetration test, aimed at IT systems from ‘outside the building’ and / or an internal security test, end-to-end testing (i.e. for people, through data, devices, applications and infrastructure), emerging technologies (e.g. mobile applications); and social engineering. The type of testing to consider as part of the scope should include web application, IT infrastructure and specialised penetration testing, as well as whether or not testing should be performed in live and / or test environments.</t>
  </si>
  <si>
    <t>Detailed test plans should be produced by your testing service provider; agreed with your organisation prior to any testing commencing; specify what will actually be done during the test itself; and help to assure the process for a proper security test without creating misunderstandings, misconceptions, or false expectations.</t>
  </si>
  <si>
    <t>Does penetration testing include testers identifying a range of potential vulnerabilities in target systems, then trying to exploit the vulnerabilities identified and actually penetrate the target system?</t>
  </si>
  <si>
    <t>On completion of penetration tests, is an improvement programme initiated?</t>
  </si>
  <si>
    <t>Actions plans should: be formally developed and approved; outline all relevant actions to be taken, include relevant details of the actions to be taken, implemented effectively and monitored to ensure progress is being made and that risks are being kept within acceptable limits. Results from penetration tests should be used when considering what to test in the future (e.g. infrastructure, web applications, mobile devices), how future tests should be undertaken; and when (e.g. on a regular basis (e.g. annually); after significant technical or business changes are made: or in response to a major security incident).</t>
  </si>
  <si>
    <r>
      <rPr>
        <b/>
        <i/>
        <sz val="11"/>
        <color theme="1"/>
        <rFont val="Calibri"/>
        <family val="2"/>
        <scheme val="minor"/>
      </rPr>
      <t xml:space="preserve">Step 3 </t>
    </r>
    <r>
      <rPr>
        <sz val="11"/>
        <color theme="1"/>
        <rFont val="Calibri"/>
        <family val="2"/>
        <scheme val="minor"/>
      </rPr>
      <t xml:space="preserve">- On the </t>
    </r>
    <r>
      <rPr>
        <i/>
        <sz val="11"/>
        <color theme="1"/>
        <rFont val="Calibri"/>
        <family val="2"/>
        <scheme val="minor"/>
      </rPr>
      <t>Assessment</t>
    </r>
    <r>
      <rPr>
        <sz val="11"/>
        <color theme="1"/>
        <rFont val="Calibri"/>
        <family val="2"/>
        <scheme val="minor"/>
      </rPr>
      <t xml:space="preserve"> worksheets use the checkboxes next to each step to deselect any steps not appropriate to the assessment. Then use the first column of drop-down lists to select  the target level of maturity required for each step. Evidence required to support responses can be entered in the </t>
    </r>
    <r>
      <rPr>
        <i/>
        <sz val="11"/>
        <color theme="1"/>
        <rFont val="Calibri"/>
        <family val="2"/>
        <scheme val="minor"/>
      </rPr>
      <t>Evidence</t>
    </r>
    <r>
      <rPr>
        <sz val="11"/>
        <color theme="1"/>
        <rFont val="Calibri"/>
        <family val="2"/>
        <scheme val="minor"/>
      </rPr>
      <t xml:space="preserve"> column.</t>
    </r>
  </si>
  <si>
    <t>Please select</t>
  </si>
  <si>
    <t>Select suitable suppliers</t>
  </si>
  <si>
    <t>Remediate weaknesses</t>
  </si>
  <si>
    <t>Initiate improvement programme</t>
  </si>
  <si>
    <t>Evaluate penetration testing effectiveness</t>
  </si>
  <si>
    <t>Build on lessons learned</t>
  </si>
  <si>
    <t>Create and monitor action plans</t>
  </si>
  <si>
    <t>• Detailed assessment tool (no macros), which allows a more detailed assessment to be made to determine the level of maturity of your penetration testing programme at a detailed level.</t>
  </si>
  <si>
    <t>detail_maturity_score</t>
  </si>
  <si>
    <t>maturity_response_frame</t>
  </si>
  <si>
    <t>sector_responses</t>
  </si>
  <si>
    <t>size_of_business_responses</t>
  </si>
  <si>
    <t>type_of_business_responses</t>
  </si>
  <si>
    <t>weighting_response_reverse</t>
  </si>
  <si>
    <t>weighting_responses</t>
  </si>
  <si>
    <t>MMAT_Results</t>
  </si>
  <si>
    <t>MMAT_Text_Ref</t>
  </si>
  <si>
    <t>MMAT_Header_Text</t>
  </si>
  <si>
    <t>Contents_Text</t>
  </si>
  <si>
    <t>Content_Headings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</si>
</sst>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numFmt numFmtId="166" formatCode="yyyy\-mm\-dd;@"/>
  </numFmts>
  <fonts count="41" x14ac:knownFonts="1">
    <font>
      <sz val="11"/>
      <color theme="1"/>
      <name val="Calibri"/>
      <family val="2"/>
      <scheme val="minor"/>
    </font>
    <font>
      <sz val="10"/>
      <name val="Arial"/>
      <family val="2"/>
    </font>
    <font>
      <sz val="10"/>
      <name val="Calibri"/>
      <family val="2"/>
      <scheme val="minor"/>
    </font>
    <font>
      <b/>
      <sz val="14"/>
      <name val="Calibri"/>
      <family val="2"/>
      <scheme val="minor"/>
    </font>
    <font>
      <sz val="12"/>
      <name val="Calibri"/>
      <family val="2"/>
      <scheme val="minor"/>
    </font>
    <font>
      <i/>
      <sz val="10"/>
      <name val="Calibri"/>
      <family val="2"/>
      <scheme val="minor"/>
    </font>
    <font>
      <sz val="10"/>
      <name val="Verdana"/>
      <family val="2"/>
    </font>
    <font>
      <b/>
      <sz val="10"/>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u/>
      <sz val="15"/>
      <color theme="3"/>
      <name val="Calibri"/>
      <family val="2"/>
      <scheme val="minor"/>
    </font>
    <font>
      <sz val="20"/>
      <color theme="3"/>
      <name val="Calibri"/>
      <family val="2"/>
      <scheme val="minor"/>
    </font>
    <font>
      <sz val="11"/>
      <name val="Calibri"/>
      <family val="2"/>
      <scheme val="minor"/>
    </font>
    <font>
      <b/>
      <sz val="14"/>
      <color theme="0"/>
      <name val="Calibri"/>
      <family val="2"/>
      <scheme val="minor"/>
    </font>
    <font>
      <sz val="25"/>
      <color rgb="FF1F497D"/>
      <name val="Calibri"/>
      <family val="2"/>
      <scheme val="minor"/>
    </font>
    <font>
      <sz val="20"/>
      <color theme="0"/>
      <name val="Calibri"/>
      <family val="2"/>
      <scheme val="minor"/>
    </font>
    <font>
      <b/>
      <sz val="12"/>
      <color theme="1"/>
      <name val="Calibri"/>
      <family val="2"/>
      <scheme val="minor"/>
    </font>
    <font>
      <sz val="14"/>
      <name val="Calibri"/>
      <family val="2"/>
      <scheme val="minor"/>
    </font>
    <font>
      <sz val="18"/>
      <color theme="0"/>
      <name val="Calibri"/>
      <family val="2"/>
      <scheme val="minor"/>
    </font>
    <font>
      <b/>
      <sz val="16"/>
      <color theme="0"/>
      <name val="Calibri"/>
      <family val="2"/>
      <scheme val="minor"/>
    </font>
    <font>
      <sz val="14"/>
      <color theme="0"/>
      <name val="Calibri"/>
      <family val="2"/>
      <scheme val="minor"/>
    </font>
    <font>
      <b/>
      <sz val="14"/>
      <color rgb="FFFF0000"/>
      <name val="Calibri"/>
      <family val="2"/>
      <scheme val="minor"/>
    </font>
    <font>
      <sz val="15"/>
      <color theme="1"/>
      <name val="Calibri"/>
      <family val="2"/>
      <scheme val="minor"/>
    </font>
    <font>
      <sz val="14"/>
      <color theme="1"/>
      <name val="Calibri"/>
      <family val="2"/>
      <scheme val="minor"/>
    </font>
    <font>
      <b/>
      <sz val="11"/>
      <color theme="3"/>
      <name val="Calibri"/>
      <family val="2"/>
      <scheme val="minor"/>
    </font>
    <font>
      <b/>
      <sz val="11"/>
      <color rgb="FFFF0000"/>
      <name val="Calibri"/>
      <family val="2"/>
      <scheme val="minor"/>
    </font>
    <font>
      <b/>
      <sz val="11"/>
      <color rgb="FF00B050"/>
      <name val="Calibri"/>
      <family val="2"/>
      <scheme val="minor"/>
    </font>
    <font>
      <i/>
      <sz val="11"/>
      <color theme="1"/>
      <name val="Calibri"/>
      <family val="2"/>
      <scheme val="minor"/>
    </font>
    <font>
      <b/>
      <i/>
      <sz val="11"/>
      <color theme="1"/>
      <name val="Calibri"/>
      <family val="2"/>
      <scheme val="minor"/>
    </font>
    <font>
      <sz val="10"/>
      <color rgb="FFB30F10"/>
      <name val="Calibri"/>
      <family val="2"/>
      <scheme val="minor"/>
    </font>
    <font>
      <b/>
      <sz val="11"/>
      <color theme="0"/>
      <name val="Calibri"/>
      <family val="2"/>
      <scheme val="minor"/>
    </font>
    <font>
      <sz val="11"/>
      <color rgb="FF1F497D"/>
      <name val="Calibri"/>
      <family val="2"/>
      <scheme val="minor"/>
    </font>
    <font>
      <i/>
      <sz val="11"/>
      <color rgb="FF1F497D"/>
      <name val="Calibri"/>
      <family val="2"/>
      <scheme val="minor"/>
    </font>
    <font>
      <b/>
      <sz val="13"/>
      <color theme="0"/>
      <name val="Calibri"/>
      <family val="2"/>
      <scheme val="minor"/>
    </font>
    <font>
      <i/>
      <sz val="9"/>
      <name val="Calibri"/>
      <family val="2"/>
      <scheme val="minor"/>
    </font>
    <font>
      <b/>
      <i/>
      <sz val="9"/>
      <name val="Calibri"/>
      <family val="2"/>
      <scheme val="minor"/>
    </font>
    <font>
      <b/>
      <sz val="11"/>
      <color rgb="FFE87727"/>
      <name val="Calibri"/>
      <family val="2"/>
      <scheme val="minor"/>
    </font>
    <font>
      <sz val="11"/>
      <color theme="1"/>
      <name val="Calibri"/>
      <family val="2"/>
      <scheme val="minor"/>
    </font>
    <font>
      <b/>
      <sz val="11"/>
      <color theme="9" tint="0.59999389629810485"/>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rgb="FF25408F"/>
        <bgColor indexed="64"/>
      </patternFill>
    </fill>
    <fill>
      <patternFill patternType="solid">
        <fgColor rgb="FF727375"/>
        <bgColor indexed="64"/>
      </patternFill>
    </fill>
    <fill>
      <patternFill patternType="solid">
        <fgColor rgb="FF921B1D"/>
        <bgColor indexed="64"/>
      </patternFill>
    </fill>
    <fill>
      <patternFill patternType="solid">
        <fgColor rgb="FFB30F10"/>
        <bgColor indexed="64"/>
      </patternFill>
    </fill>
    <fill>
      <patternFill patternType="solid">
        <fgColor rgb="FF14989C"/>
        <bgColor indexed="64"/>
      </patternFill>
    </fill>
    <fill>
      <patternFill patternType="solid">
        <fgColor rgb="FF9AB0BB"/>
        <bgColor indexed="64"/>
      </patternFill>
    </fill>
    <fill>
      <patternFill patternType="solid">
        <fgColor rgb="FFB20E0F"/>
        <bgColor indexed="64"/>
      </patternFill>
    </fill>
    <fill>
      <patternFill patternType="solid">
        <fgColor theme="6"/>
        <bgColor theme="6"/>
      </patternFill>
    </fill>
    <fill>
      <patternFill patternType="solid">
        <fgColor indexed="65"/>
        <bgColor theme="3" tint="0.39991454817346722"/>
      </patternFill>
    </fill>
    <fill>
      <patternFill patternType="solid">
        <fgColor indexed="65"/>
        <bgColor indexed="64"/>
      </patternFill>
    </fill>
    <fill>
      <patternFill patternType="solid">
        <fgColor theme="9" tint="0.59999389629810485"/>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tint="0.39997558519241921"/>
      </bottom>
      <diagonal/>
    </border>
    <border>
      <left style="thin">
        <color indexed="64"/>
      </left>
      <right/>
      <top/>
      <bottom style="medium">
        <color theme="4" tint="0.39997558519241921"/>
      </bottom>
      <diagonal/>
    </border>
    <border>
      <left style="thin">
        <color theme="0" tint="-0.499984740745262"/>
      </left>
      <right/>
      <top/>
      <bottom/>
      <diagonal/>
    </border>
    <border>
      <left/>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bottom/>
      <diagonal/>
    </border>
    <border>
      <left style="thin">
        <color theme="6"/>
      </left>
      <right/>
      <top style="thin">
        <color theme="6"/>
      </top>
      <bottom/>
      <diagonal/>
    </border>
    <border>
      <left/>
      <right/>
      <top style="thin">
        <color theme="6"/>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diagonal/>
    </border>
    <border>
      <left/>
      <right style="thin">
        <color theme="6"/>
      </right>
      <top style="thin">
        <color theme="6"/>
      </top>
      <bottom style="thin">
        <color theme="6"/>
      </bottom>
      <diagonal/>
    </border>
    <border>
      <left style="thin">
        <color indexed="64"/>
      </left>
      <right style="thin">
        <color indexed="64"/>
      </right>
      <top/>
      <bottom/>
      <diagonal/>
    </border>
    <border>
      <left style="thick">
        <color rgb="FFB30F10"/>
      </left>
      <right style="thick">
        <color rgb="FFB30F10"/>
      </right>
      <top style="thick">
        <color rgb="FFB30F10"/>
      </top>
      <bottom style="thick">
        <color rgb="FFB30F10"/>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medium">
        <color indexed="64"/>
      </bottom>
      <diagonal/>
    </border>
    <border>
      <left/>
      <right/>
      <top style="thin">
        <color theme="0" tint="-0.34998626667073579"/>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0" fontId="6" fillId="0" borderId="0"/>
    <xf numFmtId="0" fontId="10" fillId="0" borderId="7" applyNumberFormat="0" applyFill="0" applyAlignment="0" applyProtection="0"/>
    <xf numFmtId="0" fontId="11" fillId="0" borderId="8" applyNumberFormat="0" applyFill="0" applyAlignment="0" applyProtection="0"/>
    <xf numFmtId="0" fontId="26" fillId="0" borderId="15" applyNumberFormat="0" applyFill="0" applyAlignment="0" applyProtection="0"/>
  </cellStyleXfs>
  <cellXfs count="322">
    <xf numFmtId="0" fontId="0" fillId="0" borderId="0" xfId="0"/>
    <xf numFmtId="0" fontId="2" fillId="0" borderId="0" xfId="1" applyFont="1" applyFill="1" applyBorder="1" applyAlignment="1" applyProtection="1">
      <alignment vertical="top" wrapText="1"/>
    </xf>
    <xf numFmtId="1" fontId="4" fillId="0" borderId="0" xfId="1" applyNumberFormat="1" applyFont="1" applyFill="1" applyBorder="1" applyAlignment="1" applyProtection="1">
      <alignment horizontal="left" vertical="center"/>
    </xf>
    <xf numFmtId="1" fontId="5" fillId="0" borderId="0" xfId="1" applyNumberFormat="1" applyFont="1" applyFill="1" applyBorder="1" applyAlignment="1" applyProtection="1">
      <alignment horizontal="left" vertical="center"/>
    </xf>
    <xf numFmtId="0" fontId="2" fillId="0" borderId="0" xfId="1" applyFont="1" applyBorder="1" applyProtection="1"/>
    <xf numFmtId="0" fontId="2" fillId="0" borderId="0" xfId="1" applyFont="1" applyFill="1" applyBorder="1" applyProtection="1"/>
    <xf numFmtId="0" fontId="8" fillId="3" borderId="4" xfId="0" applyFont="1" applyFill="1" applyBorder="1" applyAlignment="1">
      <alignment vertical="top" wrapText="1"/>
    </xf>
    <xf numFmtId="0" fontId="8" fillId="0" borderId="0" xfId="0" applyFont="1" applyAlignment="1">
      <alignment vertical="center"/>
    </xf>
    <xf numFmtId="0" fontId="0" fillId="0" borderId="4" xfId="0" applyBorder="1" applyAlignment="1">
      <alignment vertical="center" wrapText="1"/>
    </xf>
    <xf numFmtId="0" fontId="0" fillId="0" borderId="0" xfId="0" applyAlignment="1">
      <alignment horizontal="left"/>
    </xf>
    <xf numFmtId="0" fontId="0" fillId="0" borderId="0" xfId="0" applyAlignment="1">
      <alignment vertical="center"/>
    </xf>
    <xf numFmtId="0" fontId="11" fillId="0" borderId="0" xfId="4" applyBorder="1"/>
    <xf numFmtId="0" fontId="10" fillId="0" borderId="0" xfId="3" applyBorder="1"/>
    <xf numFmtId="0" fontId="0" fillId="0" borderId="0" xfId="0"/>
    <xf numFmtId="0" fontId="12" fillId="0" borderId="0" xfId="3" applyFont="1" applyBorder="1" applyAlignment="1">
      <alignment vertical="center"/>
    </xf>
    <xf numFmtId="0" fontId="2" fillId="0" borderId="1" xfId="1" applyFont="1" applyFill="1" applyBorder="1" applyProtection="1"/>
    <xf numFmtId="0" fontId="2" fillId="2" borderId="2" xfId="1" applyFont="1" applyFill="1" applyBorder="1" applyAlignment="1" applyProtection="1">
      <alignment vertical="center" wrapText="1"/>
    </xf>
    <xf numFmtId="0" fontId="3" fillId="2" borderId="2" xfId="1" applyFont="1" applyFill="1" applyBorder="1" applyAlignment="1" applyProtection="1">
      <alignment horizontal="left" vertical="center" wrapText="1"/>
    </xf>
    <xf numFmtId="0" fontId="2" fillId="2" borderId="2" xfId="1" applyFont="1" applyFill="1" applyBorder="1" applyAlignment="1" applyProtection="1">
      <alignment vertical="center"/>
    </xf>
    <xf numFmtId="0" fontId="0" fillId="0" borderId="0" xfId="0" applyFill="1"/>
    <xf numFmtId="0" fontId="0" fillId="0" borderId="0" xfId="0" applyBorder="1"/>
    <xf numFmtId="0" fontId="0" fillId="0" borderId="0" xfId="0" applyProtection="1"/>
    <xf numFmtId="0" fontId="15" fillId="4" borderId="4" xfId="0" applyFont="1" applyFill="1" applyBorder="1" applyAlignment="1">
      <alignment vertical="center" wrapText="1"/>
    </xf>
    <xf numFmtId="165" fontId="9" fillId="0" borderId="10" xfId="0" applyNumberFormat="1" applyFont="1" applyBorder="1" applyAlignment="1" applyProtection="1">
      <alignment vertical="center" wrapText="1"/>
    </xf>
    <xf numFmtId="165" fontId="9" fillId="0" borderId="12" xfId="0" applyNumberFormat="1" applyFont="1" applyBorder="1" applyAlignment="1" applyProtection="1">
      <alignment vertical="center" wrapText="1"/>
    </xf>
    <xf numFmtId="164" fontId="0" fillId="0" borderId="11" xfId="0" applyNumberFormat="1" applyBorder="1" applyAlignment="1" applyProtection="1">
      <alignment horizontal="center" vertical="center"/>
    </xf>
    <xf numFmtId="165" fontId="9" fillId="0" borderId="10" xfId="0" applyNumberFormat="1" applyFont="1" applyBorder="1" applyAlignment="1">
      <alignment vertical="center" wrapText="1"/>
    </xf>
    <xf numFmtId="164" fontId="0" fillId="0" borderId="11" xfId="0" applyNumberFormat="1" applyBorder="1" applyAlignment="1">
      <alignment horizontal="center" vertical="center"/>
    </xf>
    <xf numFmtId="0" fontId="0" fillId="0" borderId="4"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0" fillId="0" borderId="3" xfId="0" applyBorder="1" applyAlignment="1">
      <alignment vertical="center" wrapText="1"/>
    </xf>
    <xf numFmtId="0" fontId="0" fillId="0" borderId="14" xfId="0" applyBorder="1" applyAlignment="1">
      <alignment vertical="center" wrapText="1"/>
    </xf>
    <xf numFmtId="0" fontId="10" fillId="0" borderId="0" xfId="3" applyBorder="1" applyAlignment="1">
      <alignment horizontal="center"/>
    </xf>
    <xf numFmtId="0" fontId="18" fillId="3" borderId="5" xfId="0" applyFont="1" applyFill="1" applyBorder="1" applyAlignment="1">
      <alignment vertical="center"/>
    </xf>
    <xf numFmtId="0" fontId="21" fillId="6" borderId="14" xfId="0" applyFont="1" applyFill="1" applyBorder="1" applyAlignment="1">
      <alignment vertical="center" wrapText="1"/>
    </xf>
    <xf numFmtId="0" fontId="2" fillId="0" borderId="1" xfId="1" applyFont="1" applyFill="1" applyBorder="1" applyAlignment="1" applyProtection="1">
      <alignment vertical="top" wrapText="1"/>
    </xf>
    <xf numFmtId="0" fontId="7" fillId="0" borderId="1" xfId="1" applyFont="1" applyFill="1" applyBorder="1" applyAlignment="1" applyProtection="1">
      <alignment vertical="top" wrapText="1"/>
    </xf>
    <xf numFmtId="0" fontId="14" fillId="0" borderId="1" xfId="1" applyFont="1" applyFill="1" applyBorder="1" applyAlignment="1" applyProtection="1">
      <alignment horizontal="left" vertical="center"/>
    </xf>
    <xf numFmtId="0" fontId="4" fillId="0" borderId="1" xfId="1" applyFont="1" applyFill="1" applyBorder="1" applyAlignment="1" applyProtection="1">
      <alignment horizontal="left" vertical="center" wrapText="1" indent="2"/>
    </xf>
    <xf numFmtId="0" fontId="2" fillId="0" borderId="2" xfId="1" applyFont="1" applyFill="1" applyBorder="1" applyAlignment="1" applyProtection="1">
      <alignment vertical="top" wrapText="1"/>
    </xf>
    <xf numFmtId="0" fontId="7" fillId="0" borderId="2" xfId="1" applyFont="1" applyFill="1" applyBorder="1" applyAlignment="1" applyProtection="1">
      <alignment vertical="top" wrapText="1"/>
    </xf>
    <xf numFmtId="0" fontId="14" fillId="0" borderId="2" xfId="1" applyFont="1" applyFill="1" applyBorder="1" applyAlignment="1" applyProtection="1">
      <alignment horizontal="left" vertical="center"/>
    </xf>
    <xf numFmtId="0" fontId="4" fillId="0" borderId="2" xfId="1" applyFont="1" applyFill="1" applyBorder="1" applyAlignment="1" applyProtection="1">
      <alignment horizontal="left" vertical="center" wrapText="1" indent="2"/>
    </xf>
    <xf numFmtId="0" fontId="2" fillId="0" borderId="2" xfId="1" applyFont="1" applyFill="1" applyBorder="1" applyProtection="1"/>
    <xf numFmtId="0" fontId="7" fillId="0" borderId="0" xfId="1" applyFont="1" applyFill="1" applyBorder="1" applyAlignment="1" applyProtection="1">
      <alignment vertical="top" wrapText="1"/>
    </xf>
    <xf numFmtId="0" fontId="14" fillId="0" borderId="0" xfId="1" applyFont="1" applyFill="1" applyBorder="1" applyAlignment="1" applyProtection="1">
      <alignment horizontal="left" vertical="center"/>
    </xf>
    <xf numFmtId="0" fontId="2" fillId="0" borderId="0" xfId="1" applyFont="1" applyFill="1" applyBorder="1" applyProtection="1">
      <protection locked="0"/>
    </xf>
    <xf numFmtId="0" fontId="0" fillId="0" borderId="0" xfId="0" applyProtection="1">
      <protection locked="0"/>
    </xf>
    <xf numFmtId="0" fontId="22" fillId="4" borderId="0" xfId="0" applyFont="1" applyFill="1" applyBorder="1" applyAlignment="1">
      <alignment horizontal="left" vertical="center" wrapText="1"/>
    </xf>
    <xf numFmtId="0" fontId="23" fillId="2" borderId="2" xfId="1" applyFont="1" applyFill="1" applyBorder="1" applyAlignment="1" applyProtection="1">
      <alignment horizontal="left" vertical="center" indent="2"/>
    </xf>
    <xf numFmtId="0" fontId="24" fillId="0" borderId="0" xfId="0" applyFont="1" applyAlignment="1">
      <alignment horizontal="center"/>
    </xf>
    <xf numFmtId="0" fontId="0" fillId="0" borderId="0" xfId="0" applyFill="1" applyProtection="1"/>
    <xf numFmtId="0" fontId="10" fillId="0" borderId="0" xfId="3" applyBorder="1" applyAlignment="1" applyProtection="1">
      <alignment horizontal="center"/>
    </xf>
    <xf numFmtId="0" fontId="24" fillId="0" borderId="0" xfId="0" applyFont="1" applyAlignment="1" applyProtection="1">
      <alignment horizontal="center"/>
    </xf>
    <xf numFmtId="0" fontId="24" fillId="0" borderId="0" xfId="0" applyFont="1" applyAlignment="1" applyProtection="1">
      <alignment horizontal="center" wrapText="1"/>
    </xf>
    <xf numFmtId="0" fontId="24" fillId="0" borderId="0" xfId="0" applyFont="1" applyProtection="1"/>
    <xf numFmtId="0" fontId="25" fillId="0" borderId="0" xfId="0" applyFont="1" applyAlignment="1">
      <alignment horizontal="center"/>
    </xf>
    <xf numFmtId="0" fontId="25" fillId="0" borderId="0" xfId="0" applyFont="1" applyAlignment="1" applyProtection="1">
      <alignment horizontal="center"/>
    </xf>
    <xf numFmtId="0" fontId="25" fillId="0" borderId="0" xfId="0" applyFont="1" applyAlignment="1" applyProtection="1">
      <alignment horizontal="center" wrapText="1"/>
    </xf>
    <xf numFmtId="0" fontId="2" fillId="0" borderId="1" xfId="1" applyFont="1" applyFill="1" applyBorder="1" applyProtection="1">
      <protection locked="0"/>
    </xf>
    <xf numFmtId="0" fontId="2" fillId="0" borderId="0" xfId="1" applyFont="1" applyBorder="1" applyProtection="1">
      <protection locked="0"/>
    </xf>
    <xf numFmtId="0" fontId="2" fillId="2" borderId="2" xfId="1" applyFont="1" applyFill="1" applyBorder="1" applyAlignment="1" applyProtection="1">
      <alignment vertical="center"/>
      <protection locked="0"/>
    </xf>
    <xf numFmtId="0" fontId="2" fillId="0" borderId="2" xfId="1" applyFont="1" applyFill="1" applyBorder="1" applyProtection="1">
      <protection locked="0"/>
    </xf>
    <xf numFmtId="49" fontId="0" fillId="0" borderId="0" xfId="0" applyNumberFormat="1" applyAlignment="1">
      <alignment horizontal="left"/>
    </xf>
    <xf numFmtId="0" fontId="22" fillId="5" borderId="17" xfId="0" applyFont="1" applyFill="1" applyBorder="1" applyAlignment="1">
      <alignment vertical="center"/>
    </xf>
    <xf numFmtId="0" fontId="0" fillId="0" borderId="18" xfId="0" applyBorder="1" applyAlignment="1">
      <alignment horizontal="left"/>
    </xf>
    <xf numFmtId="49" fontId="0" fillId="0" borderId="18" xfId="0" applyNumberFormat="1" applyBorder="1" applyAlignment="1">
      <alignment horizontal="left"/>
    </xf>
    <xf numFmtId="0" fontId="0" fillId="0" borderId="18" xfId="0" applyBorder="1"/>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xf>
    <xf numFmtId="49" fontId="0" fillId="0" borderId="0" xfId="0" applyNumberFormat="1" applyBorder="1" applyAlignment="1">
      <alignment horizontal="left"/>
    </xf>
    <xf numFmtId="0" fontId="0" fillId="0" borderId="0" xfId="0" applyFill="1" applyBorder="1"/>
    <xf numFmtId="0" fontId="0" fillId="0" borderId="18" xfId="0" applyFill="1" applyBorder="1"/>
    <xf numFmtId="0" fontId="14" fillId="0" borderId="18" xfId="0" applyFont="1" applyFill="1" applyBorder="1" applyAlignment="1">
      <alignment horizontal="left" vertical="center" wrapText="1"/>
    </xf>
    <xf numFmtId="0" fontId="14" fillId="0" borderId="0" xfId="0"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protection locked="0"/>
    </xf>
    <xf numFmtId="0" fontId="0" fillId="0" borderId="0" xfId="0" applyFill="1" applyBorder="1" applyProtection="1">
      <protection locked="0"/>
    </xf>
    <xf numFmtId="0" fontId="0" fillId="0" borderId="18" xfId="0" applyFill="1" applyBorder="1" applyProtection="1">
      <protection locked="0"/>
    </xf>
    <xf numFmtId="0" fontId="14" fillId="0" borderId="0"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0" fontId="0" fillId="0" borderId="0" xfId="0" applyAlignment="1" applyProtection="1">
      <alignment vertical="top"/>
    </xf>
    <xf numFmtId="0" fontId="25" fillId="0" borderId="0" xfId="0" applyFont="1" applyAlignment="1" applyProtection="1"/>
    <xf numFmtId="0" fontId="25" fillId="0" borderId="0" xfId="0" applyFont="1" applyAlignment="1">
      <alignment vertical="center"/>
    </xf>
    <xf numFmtId="0" fontId="0" fillId="0" borderId="20" xfId="0" applyBorder="1" applyAlignment="1">
      <alignment horizontal="left" vertical="top" wrapText="1"/>
    </xf>
    <xf numFmtId="0" fontId="0" fillId="0" borderId="22" xfId="0" applyBorder="1"/>
    <xf numFmtId="0" fontId="0" fillId="0" borderId="0" xfId="0" applyAlignment="1">
      <alignment horizontal="left" vertical="top" wrapText="1"/>
    </xf>
    <xf numFmtId="0" fontId="15" fillId="8" borderId="4" xfId="0" applyFont="1" applyFill="1" applyBorder="1" applyAlignment="1">
      <alignment vertical="center" wrapText="1"/>
    </xf>
    <xf numFmtId="0" fontId="15" fillId="9" borderId="4" xfId="0" applyFont="1" applyFill="1" applyBorder="1" applyAlignment="1">
      <alignment vertical="center" wrapText="1"/>
    </xf>
    <xf numFmtId="0" fontId="15" fillId="9" borderId="10" xfId="0" applyFont="1" applyFill="1" applyBorder="1" applyAlignment="1">
      <alignment vertical="center" wrapText="1"/>
    </xf>
    <xf numFmtId="0" fontId="15" fillId="9" borderId="0" xfId="0" applyFont="1" applyFill="1" applyBorder="1" applyAlignment="1">
      <alignment vertical="center" wrapText="1"/>
    </xf>
    <xf numFmtId="0" fontId="17" fillId="7" borderId="0" xfId="3" applyFont="1" applyFill="1" applyBorder="1" applyAlignment="1">
      <alignment horizontal="left"/>
    </xf>
    <xf numFmtId="49" fontId="17" fillId="7" borderId="0" xfId="3" applyNumberFormat="1" applyFont="1" applyFill="1" applyBorder="1" applyAlignment="1">
      <alignment horizontal="left" vertical="center"/>
    </xf>
    <xf numFmtId="0" fontId="17" fillId="7" borderId="0" xfId="3" applyFont="1" applyFill="1" applyBorder="1" applyAlignment="1">
      <alignment horizontal="left" vertical="center"/>
    </xf>
    <xf numFmtId="0" fontId="17" fillId="7" borderId="0" xfId="3" applyFont="1" applyFill="1" applyBorder="1" applyAlignment="1" applyProtection="1">
      <alignment horizontal="left" vertical="center"/>
      <protection locked="0"/>
    </xf>
    <xf numFmtId="0" fontId="22" fillId="7" borderId="0" xfId="0" applyFont="1" applyFill="1" applyAlignment="1">
      <alignment horizontal="center" vertical="center"/>
    </xf>
    <xf numFmtId="49" fontId="4" fillId="0" borderId="30" xfId="0" applyNumberFormat="1" applyFont="1" applyFill="1" applyBorder="1" applyAlignment="1" applyProtection="1">
      <alignment horizontal="center" vertical="center" wrapText="1"/>
      <protection locked="0"/>
    </xf>
    <xf numFmtId="0" fontId="31" fillId="7" borderId="0" xfId="3" applyFont="1" applyFill="1" applyBorder="1" applyAlignment="1">
      <alignment horizontal="left" vertical="center"/>
    </xf>
    <xf numFmtId="0" fontId="22" fillId="8" borderId="18" xfId="0" applyFont="1" applyFill="1" applyBorder="1" applyAlignment="1">
      <alignment horizontal="left" vertical="center" wrapText="1"/>
    </xf>
    <xf numFmtId="0" fontId="22" fillId="8" borderId="18" xfId="0" applyFont="1" applyFill="1" applyBorder="1" applyAlignment="1">
      <alignment horizontal="center" vertical="center" wrapText="1"/>
    </xf>
    <xf numFmtId="0" fontId="22" fillId="8" borderId="18" xfId="0" applyFont="1" applyFill="1" applyBorder="1" applyAlignment="1">
      <alignment horizontal="left" vertical="center"/>
    </xf>
    <xf numFmtId="0" fontId="22" fillId="7" borderId="0"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22" fillId="5" borderId="20" xfId="0" applyFont="1" applyFill="1" applyBorder="1" applyAlignment="1">
      <alignment vertical="center"/>
    </xf>
    <xf numFmtId="0" fontId="22" fillId="8" borderId="0" xfId="0" applyFont="1" applyFill="1" applyBorder="1" applyAlignment="1">
      <alignment horizontal="center" vertical="center" wrapText="1"/>
    </xf>
    <xf numFmtId="0" fontId="0" fillId="0" borderId="0" xfId="0" applyAlignment="1">
      <alignment horizontal="left" vertical="top" wrapText="1"/>
    </xf>
    <xf numFmtId="0" fontId="16" fillId="0" borderId="0" xfId="0" applyFont="1" applyBorder="1" applyAlignment="1">
      <alignment horizontal="left" vertical="center" wrapText="1" indent="25"/>
    </xf>
    <xf numFmtId="0" fontId="8" fillId="0" borderId="0" xfId="0" applyFont="1" applyAlignment="1">
      <alignment horizontal="center" vertical="center"/>
    </xf>
    <xf numFmtId="0" fontId="20" fillId="5" borderId="17" xfId="0" applyFont="1" applyFill="1" applyBorder="1" applyAlignment="1">
      <alignment vertical="center"/>
    </xf>
    <xf numFmtId="0" fontId="20" fillId="7" borderId="0" xfId="0" applyFont="1" applyFill="1" applyBorder="1" applyAlignment="1">
      <alignment horizontal="left" vertical="center"/>
    </xf>
    <xf numFmtId="0" fontId="13" fillId="0" borderId="0" xfId="3" applyFont="1" applyBorder="1" applyAlignment="1">
      <alignment vertical="center"/>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16" fillId="0" borderId="0" xfId="0" applyFont="1" applyBorder="1" applyAlignment="1">
      <alignment horizontal="left" vertical="center" wrapText="1" indent="14"/>
    </xf>
    <xf numFmtId="0" fontId="35" fillId="8" borderId="10" xfId="0" applyFont="1" applyFill="1" applyBorder="1" applyAlignment="1">
      <alignment vertical="center" wrapText="1"/>
    </xf>
    <xf numFmtId="49" fontId="0" fillId="0" borderId="32" xfId="0" applyNumberFormat="1" applyBorder="1" applyAlignment="1">
      <alignment horizontal="left"/>
    </xf>
    <xf numFmtId="0" fontId="0" fillId="0" borderId="32" xfId="0" applyBorder="1"/>
    <xf numFmtId="0" fontId="0" fillId="0" borderId="33" xfId="0" applyBorder="1" applyAlignment="1">
      <alignment horizontal="left" vertical="top" wrapText="1"/>
    </xf>
    <xf numFmtId="0" fontId="0" fillId="0" borderId="32" xfId="0" applyBorder="1" applyAlignment="1">
      <alignment horizontal="left" vertical="top" wrapText="1"/>
    </xf>
    <xf numFmtId="0" fontId="0" fillId="0" borderId="32" xfId="0" applyBorder="1" applyAlignment="1">
      <alignment horizontal="center" vertical="center"/>
    </xf>
    <xf numFmtId="0" fontId="0" fillId="0" borderId="32" xfId="0" applyBorder="1" applyAlignment="1" applyProtection="1">
      <alignment horizontal="left" vertical="top" wrapText="1"/>
      <protection locked="0"/>
    </xf>
    <xf numFmtId="0" fontId="14" fillId="0" borderId="32" xfId="0" applyFont="1" applyFill="1" applyBorder="1" applyAlignment="1">
      <alignment horizontal="left" vertical="center" wrapText="1"/>
    </xf>
    <xf numFmtId="0" fontId="14" fillId="0" borderId="32" xfId="0" applyFont="1" applyFill="1" applyBorder="1" applyAlignment="1" applyProtection="1">
      <alignment horizontal="center" vertical="center" wrapText="1"/>
      <protection locked="0"/>
    </xf>
    <xf numFmtId="0" fontId="0" fillId="0" borderId="32" xfId="0" applyFill="1" applyBorder="1"/>
    <xf numFmtId="0" fontId="17" fillId="7" borderId="0" xfId="3" applyFont="1" applyFill="1" applyBorder="1" applyAlignment="1" applyProtection="1">
      <alignment horizontal="left" vertical="center"/>
    </xf>
    <xf numFmtId="0" fontId="35" fillId="8" borderId="0" xfId="0" applyFont="1" applyFill="1" applyBorder="1" applyAlignment="1">
      <alignment vertical="center" wrapText="1"/>
    </xf>
    <xf numFmtId="0" fontId="21" fillId="6" borderId="9" xfId="0" applyFont="1" applyFill="1"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21" fillId="6" borderId="0" xfId="0" applyFont="1" applyFill="1" applyBorder="1" applyAlignment="1">
      <alignment vertical="center" wrapText="1"/>
    </xf>
    <xf numFmtId="0" fontId="0" fillId="0" borderId="0" xfId="0" applyFill="1" applyProtection="1">
      <protection locked="0"/>
    </xf>
    <xf numFmtId="0" fontId="0" fillId="0" borderId="32" xfId="0" applyBorder="1" applyAlignment="1">
      <alignment horizontal="left"/>
    </xf>
    <xf numFmtId="0" fontId="0" fillId="0" borderId="0" xfId="0" applyBorder="1" applyProtection="1"/>
    <xf numFmtId="0" fontId="17" fillId="7" borderId="0" xfId="3" applyFont="1" applyFill="1" applyBorder="1" applyAlignment="1" applyProtection="1">
      <alignment horizontal="left" vertical="center"/>
    </xf>
    <xf numFmtId="0" fontId="0" fillId="13" borderId="32" xfId="0" applyFill="1" applyBorder="1" applyAlignment="1">
      <alignment horizontal="left"/>
    </xf>
    <xf numFmtId="0" fontId="29" fillId="0" borderId="32" xfId="0" applyFont="1" applyBorder="1" applyAlignment="1">
      <alignment horizontal="left" vertical="top" wrapText="1" indent="2"/>
    </xf>
    <xf numFmtId="0" fontId="36" fillId="12" borderId="32" xfId="0" applyFont="1" applyFill="1" applyBorder="1" applyAlignment="1">
      <alignment horizontal="center" vertical="center" wrapText="1"/>
    </xf>
    <xf numFmtId="0" fontId="0" fillId="12" borderId="32" xfId="0" applyFill="1" applyBorder="1" applyAlignment="1">
      <alignment horizontal="left" vertical="top" wrapText="1"/>
    </xf>
    <xf numFmtId="0" fontId="37" fillId="12" borderId="32" xfId="0" applyFont="1" applyFill="1" applyBorder="1" applyAlignment="1">
      <alignment horizontal="center" vertical="center" wrapText="1"/>
    </xf>
    <xf numFmtId="0" fontId="22" fillId="5" borderId="33" xfId="0" applyFont="1" applyFill="1" applyBorder="1" applyAlignment="1">
      <alignment vertical="center"/>
    </xf>
    <xf numFmtId="0" fontId="22" fillId="7" borderId="32" xfId="0" applyFont="1" applyFill="1" applyBorder="1" applyAlignment="1">
      <alignment horizontal="left" vertical="center"/>
    </xf>
    <xf numFmtId="0" fontId="8" fillId="0" borderId="0" xfId="0" applyFont="1" applyAlignment="1">
      <alignment wrapText="1"/>
    </xf>
    <xf numFmtId="0" fontId="17" fillId="7" borderId="0" xfId="3" applyFont="1" applyFill="1" applyBorder="1" applyAlignment="1">
      <alignment horizontal="left" vertical="center"/>
    </xf>
    <xf numFmtId="0" fontId="0" fillId="0" borderId="18" xfId="0" applyNumberFormat="1" applyBorder="1" applyAlignment="1">
      <alignment horizontal="left"/>
    </xf>
    <xf numFmtId="0" fontId="29" fillId="0" borderId="18" xfId="0" applyFont="1" applyBorder="1" applyAlignment="1">
      <alignment horizontal="left" vertical="top" wrapText="1" indent="2"/>
    </xf>
    <xf numFmtId="0" fontId="0" fillId="0" borderId="35" xfId="0" applyNumberFormat="1" applyBorder="1" applyAlignment="1">
      <alignment horizontal="left"/>
    </xf>
    <xf numFmtId="0" fontId="0" fillId="13" borderId="18" xfId="0" applyFill="1" applyBorder="1" applyAlignment="1">
      <alignment horizontal="left" vertical="top" wrapText="1"/>
    </xf>
    <xf numFmtId="0" fontId="0" fillId="13" borderId="18" xfId="0" applyFill="1" applyBorder="1"/>
    <xf numFmtId="0" fontId="17" fillId="7" borderId="0" xfId="3" applyFont="1" applyFill="1" applyBorder="1" applyAlignment="1" applyProtection="1">
      <alignment horizontal="left" vertical="center"/>
    </xf>
    <xf numFmtId="0" fontId="0" fillId="0" borderId="0" xfId="0" applyAlignment="1" applyProtection="1">
      <alignment horizontal="left"/>
    </xf>
    <xf numFmtId="0" fontId="22" fillId="8" borderId="18" xfId="0" applyFont="1" applyFill="1" applyBorder="1" applyAlignment="1">
      <alignment horizontal="left" vertical="top" wrapText="1"/>
    </xf>
    <xf numFmtId="0" fontId="14" fillId="0" borderId="35" xfId="0" applyFont="1" applyFill="1" applyBorder="1" applyAlignment="1" applyProtection="1">
      <alignment horizontal="center" vertical="center" wrapText="1"/>
    </xf>
    <xf numFmtId="0" fontId="35" fillId="8" borderId="0" xfId="0" applyFont="1" applyFill="1" applyBorder="1" applyAlignment="1">
      <alignment horizontal="left" vertical="center" wrapText="1" indent="1"/>
    </xf>
    <xf numFmtId="0" fontId="15" fillId="9" borderId="29" xfId="0" applyFont="1" applyFill="1" applyBorder="1" applyAlignment="1">
      <alignment vertical="center" wrapText="1"/>
    </xf>
    <xf numFmtId="0" fontId="35" fillId="8" borderId="9" xfId="0" applyFont="1" applyFill="1" applyBorder="1" applyAlignment="1">
      <alignment vertical="center" wrapText="1"/>
    </xf>
    <xf numFmtId="0" fontId="35" fillId="8" borderId="2" xfId="0" applyFont="1" applyFill="1" applyBorder="1" applyAlignment="1">
      <alignment vertical="center" wrapText="1"/>
    </xf>
    <xf numFmtId="0" fontId="35" fillId="8" borderId="2" xfId="0" applyFont="1" applyFill="1" applyBorder="1" applyAlignment="1">
      <alignment horizontal="left" vertical="center" wrapText="1" indent="1"/>
    </xf>
    <xf numFmtId="0" fontId="0" fillId="0" borderId="10" xfId="0" applyBorder="1" applyAlignment="1">
      <alignment vertical="center" wrapText="1"/>
    </xf>
    <xf numFmtId="0" fontId="18" fillId="3" borderId="4" xfId="0" applyFont="1" applyFill="1" applyBorder="1" applyAlignment="1">
      <alignment horizontal="center" wrapText="1"/>
    </xf>
    <xf numFmtId="0" fontId="8" fillId="0" borderId="3" xfId="0" applyFont="1" applyBorder="1" applyAlignment="1">
      <alignment horizontal="center" vertical="center" wrapText="1"/>
    </xf>
    <xf numFmtId="165" fontId="9" fillId="0" borderId="12" xfId="0" applyNumberFormat="1" applyFont="1" applyBorder="1" applyAlignment="1">
      <alignment vertical="center" wrapText="1"/>
    </xf>
    <xf numFmtId="2" fontId="0" fillId="0" borderId="14" xfId="0" applyNumberFormat="1" applyBorder="1" applyAlignment="1">
      <alignment vertical="center"/>
    </xf>
    <xf numFmtId="0" fontId="8" fillId="0" borderId="0" xfId="0" applyFont="1" applyAlignment="1" applyProtection="1">
      <alignment vertical="center"/>
      <protection locked="0"/>
    </xf>
    <xf numFmtId="0" fontId="8" fillId="0" borderId="0" xfId="0" applyFont="1" applyAlignment="1" applyProtection="1">
      <alignment vertical="center"/>
    </xf>
    <xf numFmtId="0" fontId="0" fillId="0" borderId="0" xfId="0" applyAlignment="1">
      <alignment horizontal="left" vertical="top"/>
    </xf>
    <xf numFmtId="166" fontId="14" fillId="0" borderId="4" xfId="1" applyNumberFormat="1" applyFont="1" applyFill="1" applyBorder="1" applyAlignment="1" applyProtection="1">
      <alignment horizontal="left" vertical="center" indent="1"/>
      <protection locked="0"/>
    </xf>
    <xf numFmtId="2" fontId="15" fillId="9" borderId="11" xfId="0" applyNumberFormat="1" applyFont="1" applyFill="1" applyBorder="1" applyAlignment="1">
      <alignment vertical="center" wrapText="1"/>
    </xf>
    <xf numFmtId="2" fontId="15" fillId="9" borderId="11" xfId="0" applyNumberFormat="1" applyFont="1" applyFill="1" applyBorder="1" applyAlignment="1" applyProtection="1">
      <alignment vertical="center" wrapText="1"/>
    </xf>
    <xf numFmtId="2" fontId="32" fillId="11" borderId="23" xfId="0" applyNumberFormat="1" applyFont="1" applyFill="1" applyBorder="1" applyAlignment="1">
      <alignment horizontal="center" vertical="center" wrapText="1"/>
    </xf>
    <xf numFmtId="2" fontId="15" fillId="9" borderId="0" xfId="0" applyNumberFormat="1" applyFont="1" applyFill="1" applyBorder="1" applyAlignment="1">
      <alignment vertical="center" wrapText="1"/>
    </xf>
    <xf numFmtId="2" fontId="32" fillId="11" borderId="24" xfId="0" applyNumberFormat="1" applyFont="1" applyFill="1" applyBorder="1" applyAlignment="1">
      <alignment horizontal="center" vertical="center" wrapText="1"/>
    </xf>
    <xf numFmtId="2" fontId="32" fillId="11" borderId="27" xfId="0" applyNumberFormat="1" applyFont="1" applyFill="1" applyBorder="1" applyAlignment="1">
      <alignment horizontal="center" vertical="center" wrapText="1"/>
    </xf>
    <xf numFmtId="0" fontId="22" fillId="8" borderId="21" xfId="0" applyFont="1" applyFill="1" applyBorder="1" applyAlignment="1">
      <alignment horizontal="left" vertical="center" wrapText="1"/>
    </xf>
    <xf numFmtId="0" fontId="22" fillId="8" borderId="21" xfId="0" applyFont="1" applyFill="1" applyBorder="1" applyAlignment="1">
      <alignment horizontal="center" vertical="center" wrapText="1"/>
    </xf>
    <xf numFmtId="165" fontId="19" fillId="0" borderId="21" xfId="0" applyNumberFormat="1" applyFont="1" applyBorder="1" applyAlignment="1" applyProtection="1">
      <alignment horizontal="right" vertical="center" wrapText="1" indent="1"/>
    </xf>
    <xf numFmtId="0" fontId="8" fillId="0" borderId="14" xfId="0" applyFont="1" applyBorder="1" applyAlignment="1">
      <alignment horizontal="center" vertical="center" wrapText="1"/>
    </xf>
    <xf numFmtId="0" fontId="35" fillId="8" borderId="2" xfId="0" applyFont="1" applyFill="1" applyBorder="1" applyAlignment="1">
      <alignment horizontal="left" vertical="center" wrapText="1" indent="1"/>
    </xf>
    <xf numFmtId="0" fontId="24" fillId="0" borderId="0" xfId="0" applyFont="1" applyBorder="1" applyAlignment="1" applyProtection="1">
      <alignment horizontal="center"/>
    </xf>
    <xf numFmtId="0" fontId="22" fillId="5" borderId="19" xfId="0" applyFont="1" applyFill="1" applyBorder="1" applyAlignment="1">
      <alignment vertical="center"/>
    </xf>
    <xf numFmtId="0" fontId="20" fillId="5" borderId="19" xfId="0" applyFont="1" applyFill="1" applyBorder="1" applyAlignment="1">
      <alignment vertical="center"/>
    </xf>
    <xf numFmtId="0" fontId="0" fillId="0" borderId="17" xfId="0" applyBorder="1" applyAlignment="1">
      <alignment horizontal="left" vertical="top" wrapText="1"/>
    </xf>
    <xf numFmtId="0" fontId="22" fillId="10" borderId="18" xfId="0" applyFont="1" applyFill="1" applyBorder="1" applyAlignment="1">
      <alignment horizontal="left" vertical="center"/>
    </xf>
    <xf numFmtId="0" fontId="20" fillId="7" borderId="18" xfId="0" applyFont="1" applyFill="1" applyBorder="1" applyAlignment="1">
      <alignment horizontal="left" vertical="center"/>
    </xf>
    <xf numFmtId="0" fontId="0" fillId="0" borderId="0" xfId="0" applyBorder="1" applyAlignment="1">
      <alignment horizontal="left" vertical="top" wrapText="1"/>
    </xf>
    <xf numFmtId="0" fontId="22" fillId="7" borderId="18" xfId="0" applyFont="1" applyFill="1" applyBorder="1" applyAlignment="1">
      <alignment horizontal="left" vertical="center" wrapText="1"/>
    </xf>
    <xf numFmtId="0" fontId="0" fillId="13" borderId="0" xfId="0" applyFill="1" applyBorder="1" applyAlignment="1">
      <alignment horizontal="left" vertical="top" wrapText="1"/>
    </xf>
    <xf numFmtId="0" fontId="22" fillId="7" borderId="18" xfId="0" applyFont="1" applyFill="1" applyBorder="1" applyAlignment="1">
      <alignment horizontal="center" vertical="center" wrapText="1"/>
    </xf>
    <xf numFmtId="0" fontId="0" fillId="13" borderId="0" xfId="0" applyFill="1" applyBorder="1"/>
    <xf numFmtId="0" fontId="0" fillId="0" borderId="0" xfId="0" applyAlignment="1" applyProtection="1"/>
    <xf numFmtId="0" fontId="14" fillId="0" borderId="0"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0" fillId="7" borderId="0" xfId="0" applyFill="1" applyProtection="1"/>
    <xf numFmtId="0" fontId="22" fillId="7"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2" fillId="10" borderId="18" xfId="0" applyFont="1" applyFill="1" applyBorder="1" applyAlignment="1" applyProtection="1">
      <alignment horizontal="left" vertical="center"/>
    </xf>
    <xf numFmtId="0" fontId="22" fillId="10" borderId="18" xfId="0" applyFont="1" applyFill="1" applyBorder="1" applyAlignment="1" applyProtection="1">
      <alignment horizontal="left" vertical="center" wrapText="1"/>
    </xf>
    <xf numFmtId="0" fontId="14" fillId="0" borderId="18" xfId="0" applyFont="1" applyFill="1" applyBorder="1" applyAlignment="1" applyProtection="1">
      <alignment horizontal="left" vertical="center" wrapText="1"/>
    </xf>
    <xf numFmtId="0" fontId="0" fillId="0" borderId="18" xfId="0" applyBorder="1" applyProtection="1"/>
    <xf numFmtId="0" fontId="22" fillId="7" borderId="18" xfId="0" applyFont="1" applyFill="1" applyBorder="1" applyAlignment="1" applyProtection="1">
      <alignment horizontal="left" vertical="center" wrapText="1"/>
    </xf>
    <xf numFmtId="0" fontId="0" fillId="0" borderId="0" xfId="0" applyBorder="1" applyAlignment="1">
      <alignment horizontal="center" vertical="center"/>
    </xf>
    <xf numFmtId="0" fontId="0" fillId="13" borderId="0" xfId="0" applyFill="1" applyBorder="1" applyAlignment="1">
      <alignment horizontal="left"/>
    </xf>
    <xf numFmtId="0" fontId="14" fillId="0" borderId="34" xfId="0" applyFont="1" applyFill="1" applyBorder="1" applyAlignment="1" applyProtection="1">
      <alignment horizontal="center" vertical="center" wrapText="1"/>
      <protection locked="0"/>
    </xf>
    <xf numFmtId="1" fontId="0" fillId="0" borderId="23" xfId="0" applyNumberFormat="1" applyFont="1" applyBorder="1" applyAlignment="1" applyProtection="1">
      <alignment horizontal="center" vertical="center"/>
      <protection locked="0"/>
    </xf>
    <xf numFmtId="1" fontId="0" fillId="0" borderId="24" xfId="0" applyNumberFormat="1" applyFont="1" applyBorder="1" applyAlignment="1" applyProtection="1">
      <alignment horizontal="center" vertical="center"/>
      <protection locked="0"/>
    </xf>
    <xf numFmtId="1" fontId="0" fillId="0" borderId="27" xfId="0" applyNumberFormat="1" applyFont="1" applyBorder="1" applyAlignment="1" applyProtection="1">
      <alignment horizontal="center" vertical="center"/>
      <protection locked="0"/>
    </xf>
    <xf numFmtId="1" fontId="0" fillId="0" borderId="25" xfId="0" applyNumberFormat="1" applyFont="1" applyBorder="1" applyAlignment="1" applyProtection="1">
      <alignment horizontal="center" vertical="center"/>
      <protection locked="0"/>
    </xf>
    <xf numFmtId="1" fontId="0" fillId="0" borderId="26" xfId="0" applyNumberFormat="1" applyFont="1" applyBorder="1" applyAlignment="1" applyProtection="1">
      <alignment horizontal="center" vertical="center"/>
      <protection locked="0"/>
    </xf>
    <xf numFmtId="1" fontId="0" fillId="0" borderId="28" xfId="0" applyNumberFormat="1" applyFont="1" applyBorder="1" applyAlignment="1" applyProtection="1">
      <alignment horizontal="center" vertical="center"/>
      <protection locked="0"/>
    </xf>
    <xf numFmtId="1" fontId="0" fillId="0" borderId="11" xfId="0" applyNumberFormat="1" applyBorder="1" applyAlignment="1" applyProtection="1">
      <alignment horizontal="center" vertical="center"/>
    </xf>
    <xf numFmtId="1" fontId="0" fillId="0" borderId="13" xfId="0" applyNumberFormat="1" applyBorder="1" applyAlignment="1" applyProtection="1">
      <alignment horizontal="center" vertical="center"/>
    </xf>
    <xf numFmtId="0" fontId="22" fillId="8" borderId="32" xfId="0" applyFont="1" applyFill="1" applyBorder="1" applyAlignment="1">
      <alignment horizontal="left" vertical="center" wrapText="1"/>
    </xf>
    <xf numFmtId="0" fontId="0" fillId="0" borderId="37" xfId="0" applyBorder="1"/>
    <xf numFmtId="0" fontId="0" fillId="0" borderId="36" xfId="0" applyFill="1" applyBorder="1"/>
    <xf numFmtId="0" fontId="8" fillId="0" borderId="4" xfId="0" applyFont="1" applyBorder="1" applyAlignment="1">
      <alignment horizontal="center" vertical="center" wrapText="1"/>
    </xf>
    <xf numFmtId="1" fontId="0" fillId="0" borderId="11" xfId="0" applyNumberFormat="1" applyBorder="1" applyAlignment="1">
      <alignment horizontal="center" vertical="center"/>
    </xf>
    <xf numFmtId="1" fontId="38" fillId="0" borderId="29" xfId="0" applyNumberFormat="1" applyFont="1" applyBorder="1" applyAlignment="1" applyProtection="1">
      <alignment horizontal="center" vertical="center"/>
      <protection locked="0"/>
    </xf>
    <xf numFmtId="1" fontId="0" fillId="0" borderId="13" xfId="0" applyNumberFormat="1" applyBorder="1" applyAlignment="1">
      <alignment horizontal="center" vertical="center"/>
    </xf>
    <xf numFmtId="1" fontId="38" fillId="0" borderId="3" xfId="0" applyNumberFormat="1" applyFont="1" applyBorder="1" applyAlignment="1" applyProtection="1">
      <alignment horizontal="center" vertical="center"/>
      <protection locked="0"/>
    </xf>
    <xf numFmtId="0" fontId="22" fillId="10" borderId="0" xfId="0" applyFont="1" applyFill="1" applyBorder="1" applyAlignment="1">
      <alignment horizontal="left" vertical="center"/>
    </xf>
    <xf numFmtId="0" fontId="22" fillId="10" borderId="0" xfId="0" applyFont="1" applyFill="1" applyBorder="1" applyAlignment="1" applyProtection="1">
      <alignment horizontal="left" vertical="center"/>
    </xf>
    <xf numFmtId="0" fontId="22" fillId="10" borderId="0" xfId="0" applyFont="1" applyFill="1" applyBorder="1" applyAlignment="1" applyProtection="1">
      <alignment horizontal="left" vertical="center" wrapText="1"/>
    </xf>
    <xf numFmtId="0" fontId="22" fillId="8" borderId="32" xfId="0" applyFont="1" applyFill="1" applyBorder="1" applyAlignment="1">
      <alignment horizontal="left" vertical="center"/>
    </xf>
    <xf numFmtId="0" fontId="22" fillId="8" borderId="32" xfId="0" applyFont="1" applyFill="1" applyBorder="1" applyAlignment="1">
      <alignment horizontal="left" vertical="top" wrapText="1"/>
    </xf>
    <xf numFmtId="0" fontId="22" fillId="8" borderId="32" xfId="0" applyFont="1" applyFill="1" applyBorder="1" applyAlignment="1">
      <alignment horizontal="center" vertical="center" wrapText="1"/>
    </xf>
    <xf numFmtId="0" fontId="3" fillId="0" borderId="31" xfId="0" applyFont="1" applyFill="1" applyBorder="1" applyAlignment="1" applyProtection="1">
      <alignment horizontal="center"/>
    </xf>
    <xf numFmtId="0" fontId="14" fillId="0" borderId="31" xfId="0" applyFont="1" applyFill="1" applyBorder="1" applyAlignment="1" applyProtection="1">
      <alignment wrapText="1"/>
      <protection locked="0"/>
    </xf>
    <xf numFmtId="0" fontId="0" fillId="0" borderId="35" xfId="0" applyFill="1" applyBorder="1"/>
    <xf numFmtId="0" fontId="3" fillId="0" borderId="38" xfId="0" applyFont="1" applyFill="1" applyBorder="1" applyAlignment="1" applyProtection="1">
      <alignment horizontal="center"/>
    </xf>
    <xf numFmtId="0" fontId="14" fillId="0" borderId="38" xfId="0" applyFont="1" applyFill="1" applyBorder="1" applyAlignment="1" applyProtection="1">
      <alignment wrapText="1"/>
      <protection locked="0"/>
    </xf>
    <xf numFmtId="0" fontId="0" fillId="0" borderId="0" xfId="0" applyAlignment="1">
      <alignment horizontal="left" vertical="top" wrapText="1"/>
    </xf>
    <xf numFmtId="0" fontId="0" fillId="0" borderId="0" xfId="0" applyAlignment="1">
      <alignment vertical="top"/>
    </xf>
    <xf numFmtId="0" fontId="0" fillId="0" borderId="42" xfId="0" applyBorder="1" applyAlignment="1">
      <alignment vertical="center"/>
    </xf>
    <xf numFmtId="0" fontId="8" fillId="14" borderId="45" xfId="0" applyFont="1" applyFill="1" applyBorder="1" applyAlignment="1">
      <alignment horizontal="center" vertical="center"/>
    </xf>
    <xf numFmtId="0" fontId="0" fillId="0" borderId="47" xfId="0" applyBorder="1"/>
    <xf numFmtId="0" fontId="0" fillId="0" borderId="48" xfId="0" applyBorder="1"/>
    <xf numFmtId="0" fontId="0" fillId="0" borderId="50" xfId="0" applyBorder="1"/>
    <xf numFmtId="0" fontId="0" fillId="0" borderId="34" xfId="0" applyBorder="1"/>
    <xf numFmtId="0" fontId="0" fillId="0" borderId="52" xfId="0" applyBorder="1"/>
    <xf numFmtId="0" fontId="8" fillId="14" borderId="44"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0" xfId="0" applyBorder="1" applyAlignment="1">
      <alignment vertical="center"/>
    </xf>
    <xf numFmtId="0" fontId="0" fillId="0" borderId="50" xfId="0" applyBorder="1" applyAlignment="1">
      <alignment vertical="center"/>
    </xf>
    <xf numFmtId="0" fontId="0" fillId="0" borderId="45" xfId="0" applyBorder="1" applyAlignment="1">
      <alignment vertical="center"/>
    </xf>
    <xf numFmtId="0" fontId="0" fillId="0" borderId="43" xfId="0" applyBorder="1" applyAlignment="1">
      <alignment vertical="center"/>
    </xf>
    <xf numFmtId="0" fontId="0" fillId="0" borderId="51" xfId="0" applyBorder="1" applyAlignment="1">
      <alignment vertical="center"/>
    </xf>
    <xf numFmtId="0" fontId="0" fillId="0" borderId="34" xfId="0" applyBorder="1" applyAlignment="1">
      <alignment vertical="center"/>
    </xf>
    <xf numFmtId="0" fontId="0" fillId="0" borderId="52" xfId="0" applyBorder="1" applyAlignment="1">
      <alignment vertical="center"/>
    </xf>
    <xf numFmtId="0" fontId="0" fillId="0" borderId="0" xfId="0" applyAlignment="1">
      <alignment vertical="center" wrapText="1"/>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8" fillId="14" borderId="44" xfId="0" applyFont="1" applyFill="1" applyBorder="1" applyAlignment="1">
      <alignment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14" borderId="0" xfId="0" applyFill="1"/>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0"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34" xfId="0" applyBorder="1" applyAlignment="1">
      <alignment horizontal="center"/>
    </xf>
    <xf numFmtId="0" fontId="0" fillId="0" borderId="52" xfId="0" applyBorder="1" applyAlignment="1">
      <alignment horizont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2" fontId="0" fillId="0" borderId="4" xfId="0" applyNumberFormat="1" applyBorder="1" applyAlignment="1">
      <alignment vertical="center"/>
    </xf>
    <xf numFmtId="49" fontId="0" fillId="0" borderId="0" xfId="0" applyNumberFormat="1" applyAlignment="1">
      <alignment vertical="center"/>
    </xf>
    <xf numFmtId="0" fontId="26" fillId="0" borderId="15" xfId="5" applyBorder="1" applyAlignment="1">
      <alignment vertical="center"/>
    </xf>
    <xf numFmtId="0" fontId="26" fillId="0" borderId="15" xfId="5" applyBorder="1" applyAlignment="1">
      <alignment vertical="center" wrapText="1"/>
    </xf>
    <xf numFmtId="0" fontId="0" fillId="0" borderId="0" xfId="0" applyBorder="1" applyAlignment="1">
      <alignment horizontal="right" vertical="center"/>
    </xf>
    <xf numFmtId="0" fontId="0" fillId="0" borderId="0" xfId="0" applyBorder="1" applyAlignment="1">
      <alignment vertical="center" wrapText="1"/>
    </xf>
    <xf numFmtId="0" fontId="0" fillId="0" borderId="0" xfId="0" applyAlignment="1">
      <alignment horizontal="right" vertical="center"/>
    </xf>
    <xf numFmtId="0" fontId="0" fillId="0" borderId="0" xfId="0" applyNumberFormat="1" applyAlignment="1">
      <alignment horizontal="center" vertical="center"/>
    </xf>
    <xf numFmtId="0" fontId="0" fillId="0" borderId="10" xfId="0" applyBorder="1" applyAlignment="1">
      <alignment horizontal="center" vertical="center"/>
    </xf>
    <xf numFmtId="49" fontId="0" fillId="0" borderId="0" xfId="0" applyNumberFormat="1" applyAlignment="1">
      <alignment horizontal="center" vertical="center"/>
    </xf>
    <xf numFmtId="0" fontId="26" fillId="0" borderId="15" xfId="5" applyNumberFormat="1" applyBorder="1" applyAlignment="1">
      <alignment horizontal="center" vertical="center"/>
    </xf>
    <xf numFmtId="0" fontId="28" fillId="0" borderId="16" xfId="5" applyFont="1" applyBorder="1" applyAlignment="1">
      <alignment horizontal="center" vertical="center"/>
    </xf>
    <xf numFmtId="0" fontId="28" fillId="0" borderId="15" xfId="5" applyFont="1" applyBorder="1" applyAlignment="1">
      <alignment horizontal="center" vertical="center"/>
    </xf>
    <xf numFmtId="0" fontId="27" fillId="0" borderId="16" xfId="5" applyFont="1" applyBorder="1" applyAlignment="1">
      <alignment horizontal="center" vertical="center"/>
    </xf>
    <xf numFmtId="0" fontId="27" fillId="0" borderId="10" xfId="5" applyFont="1" applyBorder="1" applyAlignment="1">
      <alignment horizontal="center" vertical="center"/>
    </xf>
    <xf numFmtId="0" fontId="0" fillId="0" borderId="0" xfId="0" applyNumberFormat="1" applyBorder="1" applyAlignment="1">
      <alignment horizontal="center" vertical="center"/>
    </xf>
    <xf numFmtId="0" fontId="40" fillId="0" borderId="0" xfId="0" applyFont="1" applyFill="1" applyBorder="1" applyAlignment="1">
      <alignment vertical="center"/>
    </xf>
    <xf numFmtId="0" fontId="0" fillId="0" borderId="0" xfId="0" applyFill="1" applyBorder="1" applyAlignment="1">
      <alignment vertical="center"/>
    </xf>
    <xf numFmtId="0" fontId="0" fillId="0" borderId="0" xfId="0" applyAlignment="1">
      <alignment horizontal="left" vertical="top" wrapText="1"/>
    </xf>
    <xf numFmtId="0" fontId="13" fillId="0" borderId="0" xfId="3" applyFont="1" applyBorder="1" applyAlignment="1">
      <alignment vertical="center" wrapText="1"/>
    </xf>
    <xf numFmtId="0" fontId="0" fillId="0" borderId="0" xfId="0" applyAlignment="1">
      <alignment vertical="top" wrapText="1"/>
    </xf>
    <xf numFmtId="0" fontId="13" fillId="0" borderId="1" xfId="1" applyFont="1" applyFill="1" applyBorder="1" applyAlignment="1" applyProtection="1">
      <alignment horizontal="left" vertical="center" wrapText="1" indent="11"/>
    </xf>
    <xf numFmtId="0" fontId="14" fillId="0" borderId="5" xfId="1" applyFont="1" applyFill="1" applyBorder="1" applyAlignment="1" applyProtection="1">
      <alignment horizontal="left" vertical="center" indent="1"/>
      <protection locked="0"/>
    </xf>
    <xf numFmtId="0" fontId="39" fillId="0" borderId="6" xfId="0" applyFont="1" applyBorder="1" applyAlignment="1" applyProtection="1">
      <alignment horizontal="left" indent="1"/>
      <protection locked="0"/>
    </xf>
    <xf numFmtId="0" fontId="18" fillId="3" borderId="5" xfId="0" applyFont="1" applyFill="1" applyBorder="1" applyAlignment="1">
      <alignment horizontal="center"/>
    </xf>
    <xf numFmtId="0" fontId="18" fillId="3" borderId="6" xfId="0" applyFont="1" applyFill="1" applyBorder="1" applyAlignment="1">
      <alignment horizontal="center"/>
    </xf>
    <xf numFmtId="0" fontId="33" fillId="0" borderId="0" xfId="0" applyFont="1" applyBorder="1" applyAlignment="1">
      <alignment horizontal="left" wrapText="1" indent="2"/>
    </xf>
    <xf numFmtId="0" fontId="34" fillId="0" borderId="0" xfId="0" applyFont="1" applyBorder="1" applyAlignment="1">
      <alignment horizontal="left" wrapText="1" indent="2"/>
    </xf>
    <xf numFmtId="0" fontId="0" fillId="0" borderId="0" xfId="0" applyFont="1" applyAlignment="1">
      <alignment horizontal="center" vertical="center" wrapText="1"/>
    </xf>
    <xf numFmtId="0" fontId="17" fillId="7" borderId="0" xfId="3" applyFont="1" applyFill="1" applyBorder="1" applyAlignment="1">
      <alignment horizontal="left" vertical="center"/>
    </xf>
    <xf numFmtId="0" fontId="8" fillId="0" borderId="0" xfId="0" applyFont="1" applyAlignment="1">
      <alignment horizontal="center"/>
    </xf>
    <xf numFmtId="0" fontId="16" fillId="0" borderId="1" xfId="0" applyFont="1" applyBorder="1" applyAlignment="1">
      <alignment horizontal="left" vertical="center" wrapText="1" indent="14"/>
    </xf>
    <xf numFmtId="0" fontId="35" fillId="8" borderId="2" xfId="0" applyFont="1" applyFill="1" applyBorder="1" applyAlignment="1">
      <alignment horizontal="left" vertical="center" wrapText="1" indent="1"/>
    </xf>
    <xf numFmtId="0" fontId="35" fillId="8" borderId="0" xfId="0" applyFont="1" applyFill="1" applyBorder="1" applyAlignment="1">
      <alignment horizontal="left" vertical="center" wrapText="1" indent="1"/>
    </xf>
    <xf numFmtId="0" fontId="17" fillId="7" borderId="0" xfId="3" applyFont="1" applyFill="1" applyBorder="1" applyAlignment="1" applyProtection="1">
      <alignment horizontal="left" vertical="center" wrapText="1"/>
    </xf>
    <xf numFmtId="0" fontId="17" fillId="8" borderId="0" xfId="3" applyFont="1" applyFill="1" applyBorder="1" applyAlignment="1" applyProtection="1">
      <alignment horizontal="left" vertical="center"/>
    </xf>
    <xf numFmtId="0" fontId="20" fillId="8" borderId="0" xfId="3" applyFont="1" applyFill="1" applyBorder="1" applyAlignment="1" applyProtection="1">
      <alignment horizontal="left" vertical="center"/>
    </xf>
    <xf numFmtId="0" fontId="8" fillId="14" borderId="39" xfId="0" applyFont="1" applyFill="1" applyBorder="1" applyAlignment="1">
      <alignment horizontal="center" vertical="center"/>
    </xf>
    <xf numFmtId="0" fontId="8" fillId="14" borderId="41" xfId="0" applyFont="1" applyFill="1" applyBorder="1" applyAlignment="1">
      <alignment horizontal="center" vertical="center"/>
    </xf>
    <xf numFmtId="0" fontId="8" fillId="14" borderId="40" xfId="0" applyFont="1" applyFill="1" applyBorder="1" applyAlignment="1">
      <alignment horizontal="center" vertical="center"/>
    </xf>
    <xf numFmtId="0" fontId="8" fillId="14" borderId="46" xfId="0" applyFont="1" applyFill="1" applyBorder="1" applyAlignment="1">
      <alignment horizontal="center" vertical="center"/>
    </xf>
    <xf numFmtId="0" fontId="8" fillId="14" borderId="47" xfId="0" applyFont="1" applyFill="1" applyBorder="1" applyAlignment="1">
      <alignment horizontal="center" vertical="center"/>
    </xf>
    <xf numFmtId="0" fontId="8" fillId="14" borderId="48" xfId="0" applyFont="1" applyFill="1" applyBorder="1" applyAlignment="1">
      <alignment horizontal="center" vertical="center"/>
    </xf>
  </cellXfs>
  <cellStyles count="6">
    <cellStyle name="Heading 1" xfId="3" builtinId="16"/>
    <cellStyle name="Heading 2" xfId="4" builtinId="17"/>
    <cellStyle name="Heading 3" xfId="5" builtinId="18"/>
    <cellStyle name="Normal" xfId="0" builtinId="0"/>
    <cellStyle name="Normal 2" xfId="1" xr:uid="{00000000-0005-0000-0000-000004000000}"/>
    <cellStyle name="Normal 3" xfId="2" xr:uid="{00000000-0005-0000-0000-000005000000}"/>
  </cellStyles>
  <dxfs count="70">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s>
  <tableStyles count="0" defaultTableStyle="TableStyleMedium2" defaultPivotStyle="PivotStyleLight16"/>
  <colors>
    <mruColors>
      <color rgb="FFE87727"/>
      <color rgb="FF638EC6"/>
      <color rgb="FFF8A6A6"/>
      <color rgb="FFF58383"/>
      <color rgb="FF00B050"/>
      <color rgb="FF3156BD"/>
      <color rgb="FF14989C"/>
      <color rgb="FF9AB0BB"/>
      <color rgb="FFB30F10"/>
      <color rgb="FF9CA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36846713772962"/>
          <c:y val="6.4422160007444024E-2"/>
          <c:w val="0.55997877307332677"/>
          <c:h val="0.63071355164240606"/>
        </c:manualLayout>
      </c:layout>
      <c:radarChart>
        <c:radarStyle val="marker"/>
        <c:varyColors val="0"/>
        <c:ser>
          <c:idx val="3"/>
          <c:order val="0"/>
          <c:spPr>
            <a:ln w="38100">
              <a:solidFill>
                <a:srgbClr val="00B050"/>
              </a:solidFill>
              <a:headEnd type="none" w="med" len="med"/>
              <a:tailEnd type="none" w="med" len="med"/>
            </a:ln>
          </c:spPr>
          <c:marker>
            <c:symbol val="circle"/>
            <c:size val="7"/>
            <c:spPr>
              <a:solidFill>
                <a:srgbClr val="00B050"/>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Results'!$AH$4:$AH$25</c:f>
              <c:numCache>
                <c:formatCode>General</c:formatCode>
                <c:ptCount val="22"/>
                <c:pt idx="0">
                  <c:v>2</c:v>
                </c:pt>
                <c:pt idx="1">
                  <c:v>2</c:v>
                </c:pt>
                <c:pt idx="2">
                  <c:v>2</c:v>
                </c:pt>
                <c:pt idx="3">
                  <c:v>2</c:v>
                </c:pt>
                <c:pt idx="4">
                  <c:v>2</c:v>
                </c:pt>
                <c:pt idx="5">
                  <c:v>2</c:v>
                </c:pt>
                <c:pt idx="6">
                  <c:v>2</c:v>
                </c:pt>
              </c:numCache>
            </c:numRef>
          </c:val>
          <c:extLst xmlns:c15="http://schemas.microsoft.com/office/drawing/2012/chart">
            <c:ext xmlns:c16="http://schemas.microsoft.com/office/drawing/2014/chart" uri="{C3380CC4-5D6E-409C-BE32-E72D297353CC}">
              <c16:uniqueId val="{00000000-D2A8-49B7-94A7-95F52A180508}"/>
            </c:ext>
          </c:extLst>
        </c:ser>
        <c:ser>
          <c:idx val="4"/>
          <c:order val="1"/>
          <c:spPr>
            <a:ln w="38100">
              <a:solidFill>
                <a:srgbClr val="00B050"/>
              </a:solidFill>
              <a:headEnd type="none"/>
              <a:tailEnd type="none"/>
            </a:ln>
          </c:spPr>
          <c:marker>
            <c:symbol val="circle"/>
            <c:size val="7"/>
            <c:spPr>
              <a:solidFill>
                <a:srgbClr val="00B050"/>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Results'!$AI$4:$AI$25</c:f>
              <c:numCache>
                <c:formatCode>General</c:formatCode>
                <c:ptCount val="22"/>
                <c:pt idx="7">
                  <c:v>2</c:v>
                </c:pt>
                <c:pt idx="8">
                  <c:v>2</c:v>
                </c:pt>
                <c:pt idx="9">
                  <c:v>2</c:v>
                </c:pt>
                <c:pt idx="10">
                  <c:v>2</c:v>
                </c:pt>
                <c:pt idx="11">
                  <c:v>2</c:v>
                </c:pt>
                <c:pt idx="12">
                  <c:v>2</c:v>
                </c:pt>
                <c:pt idx="13">
                  <c:v>2</c:v>
                </c:pt>
                <c:pt idx="14">
                  <c:v>2</c:v>
                </c:pt>
                <c:pt idx="15">
                  <c:v>2</c:v>
                </c:pt>
              </c:numCache>
            </c:numRef>
          </c:val>
          <c:extLst xmlns:c15="http://schemas.microsoft.com/office/drawing/2012/chart">
            <c:ext xmlns:c16="http://schemas.microsoft.com/office/drawing/2014/chart" uri="{C3380CC4-5D6E-409C-BE32-E72D297353CC}">
              <c16:uniqueId val="{00000001-D2A8-49B7-94A7-95F52A180508}"/>
            </c:ext>
          </c:extLst>
        </c:ser>
        <c:ser>
          <c:idx val="5"/>
          <c:order val="2"/>
          <c:spPr>
            <a:ln w="38100">
              <a:solidFill>
                <a:srgbClr val="00B050"/>
              </a:solidFill>
              <a:headEnd type="none"/>
              <a:tailEnd type="none"/>
            </a:ln>
          </c:spPr>
          <c:marker>
            <c:symbol val="circle"/>
            <c:size val="7"/>
            <c:spPr>
              <a:solidFill>
                <a:srgbClr val="00B050"/>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Results'!$AJ$4:$AJ$25</c:f>
              <c:numCache>
                <c:formatCode>General</c:formatCode>
                <c:ptCount val="22"/>
                <c:pt idx="16">
                  <c:v>2</c:v>
                </c:pt>
                <c:pt idx="17">
                  <c:v>2</c:v>
                </c:pt>
                <c:pt idx="18">
                  <c:v>2</c:v>
                </c:pt>
                <c:pt idx="19">
                  <c:v>2</c:v>
                </c:pt>
                <c:pt idx="20">
                  <c:v>2</c:v>
                </c:pt>
                <c:pt idx="21">
                  <c:v>2</c:v>
                </c:pt>
              </c:numCache>
            </c:numRef>
          </c:val>
          <c:extLst xmlns:c15="http://schemas.microsoft.com/office/drawing/2012/chart">
            <c:ext xmlns:c16="http://schemas.microsoft.com/office/drawing/2014/chart" uri="{C3380CC4-5D6E-409C-BE32-E72D297353CC}">
              <c16:uniqueId val="{00000002-D2A8-49B7-94A7-95F52A180508}"/>
            </c:ext>
          </c:extLst>
        </c:ser>
        <c:ser>
          <c:idx val="0"/>
          <c:order val="3"/>
          <c:spPr>
            <a:ln w="38100">
              <a:solidFill>
                <a:srgbClr val="3156BD"/>
              </a:solidFill>
              <a:headEnd type="none"/>
              <a:tailEnd type="none"/>
            </a:ln>
          </c:spPr>
          <c:marker>
            <c:symbol val="circle"/>
            <c:size val="7"/>
            <c:spPr>
              <a:solidFill>
                <a:srgbClr val="3156BD"/>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Results'!$AE$4:$AE$25</c:f>
              <c:numCache>
                <c:formatCode>General</c:formatCode>
                <c:ptCount val="22"/>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3-D2A8-49B7-94A7-95F52A180508}"/>
            </c:ext>
          </c:extLst>
        </c:ser>
        <c:ser>
          <c:idx val="1"/>
          <c:order val="4"/>
          <c:spPr>
            <a:ln w="38100">
              <a:solidFill>
                <a:srgbClr val="3156BD"/>
              </a:solidFill>
              <a:headEnd type="none"/>
              <a:tailEnd type="none"/>
            </a:ln>
          </c:spPr>
          <c:marker>
            <c:symbol val="circle"/>
            <c:size val="7"/>
            <c:spPr>
              <a:solidFill>
                <a:srgbClr val="3156BD"/>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Results'!$AF$4:$AF$25</c:f>
              <c:numCache>
                <c:formatCode>General</c:formatCode>
                <c:ptCount val="22"/>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4-D2A8-49B7-94A7-95F52A180508}"/>
            </c:ext>
          </c:extLst>
        </c:ser>
        <c:ser>
          <c:idx val="2"/>
          <c:order val="5"/>
          <c:spPr>
            <a:ln w="38100">
              <a:solidFill>
                <a:srgbClr val="3156BD"/>
              </a:solidFill>
              <a:headEnd type="none"/>
              <a:tailEnd type="none"/>
            </a:ln>
          </c:spPr>
          <c:marker>
            <c:symbol val="circle"/>
            <c:size val="7"/>
            <c:spPr>
              <a:solidFill>
                <a:srgbClr val="3156BD"/>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Results'!$AG$4:$AG$25</c:f>
              <c:numCache>
                <c:formatCode>General</c:formatCode>
                <c:ptCount val="22"/>
                <c:pt idx="16">
                  <c:v>1</c:v>
                </c:pt>
                <c:pt idx="17">
                  <c:v>1</c:v>
                </c:pt>
                <c:pt idx="18">
                  <c:v>1</c:v>
                </c:pt>
                <c:pt idx="19">
                  <c:v>1</c:v>
                </c:pt>
                <c:pt idx="20">
                  <c:v>1</c:v>
                </c:pt>
                <c:pt idx="21">
                  <c:v>1</c:v>
                </c:pt>
              </c:numCache>
            </c:numRef>
          </c:val>
          <c:extLst>
            <c:ext xmlns:c16="http://schemas.microsoft.com/office/drawing/2014/chart" uri="{C3380CC4-5D6E-409C-BE32-E72D297353CC}">
              <c16:uniqueId val="{00000005-D2A8-49B7-94A7-95F52A180508}"/>
            </c:ext>
          </c:extLst>
        </c:ser>
        <c:ser>
          <c:idx val="6"/>
          <c:order val="6"/>
          <c:spPr>
            <a:ln w="38100">
              <a:solidFill>
                <a:srgbClr val="E87727"/>
              </a:solidFill>
            </a:ln>
          </c:spPr>
          <c:marker>
            <c:symbol val="circle"/>
            <c:size val="7"/>
            <c:spPr>
              <a:solidFill>
                <a:srgbClr val="E87727"/>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Results'!$AK$4:$AK$25</c:f>
              <c:numCache>
                <c:formatCode>0.00</c:formatCode>
                <c:ptCount val="22"/>
                <c:pt idx="0">
                  <c:v>4</c:v>
                </c:pt>
                <c:pt idx="1">
                  <c:v>3</c:v>
                </c:pt>
                <c:pt idx="2">
                  <c:v>2</c:v>
                </c:pt>
                <c:pt idx="3">
                  <c:v>3</c:v>
                </c:pt>
                <c:pt idx="4">
                  <c:v>2</c:v>
                </c:pt>
                <c:pt idx="5">
                  <c:v>4</c:v>
                </c:pt>
                <c:pt idx="6">
                  <c:v>3</c:v>
                </c:pt>
              </c:numCache>
            </c:numRef>
          </c:val>
          <c:extLst>
            <c:ext xmlns:c16="http://schemas.microsoft.com/office/drawing/2014/chart" uri="{C3380CC4-5D6E-409C-BE32-E72D297353CC}">
              <c16:uniqueId val="{00000006-D2A8-49B7-94A7-95F52A180508}"/>
            </c:ext>
          </c:extLst>
        </c:ser>
        <c:ser>
          <c:idx val="7"/>
          <c:order val="7"/>
          <c:spPr>
            <a:ln w="38100">
              <a:solidFill>
                <a:srgbClr val="E87727"/>
              </a:solidFill>
            </a:ln>
          </c:spPr>
          <c:marker>
            <c:symbol val="circle"/>
            <c:size val="7"/>
            <c:spPr>
              <a:solidFill>
                <a:srgbClr val="E87727"/>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Results'!$AL$4:$AL$25</c:f>
              <c:numCache>
                <c:formatCode>General</c:formatCode>
                <c:ptCount val="22"/>
                <c:pt idx="7" formatCode="0.00">
                  <c:v>4</c:v>
                </c:pt>
                <c:pt idx="8" formatCode="0.00">
                  <c:v>4</c:v>
                </c:pt>
                <c:pt idx="9" formatCode="0.00">
                  <c:v>4</c:v>
                </c:pt>
                <c:pt idx="10" formatCode="0.00">
                  <c:v>3</c:v>
                </c:pt>
                <c:pt idx="11" formatCode="0.00">
                  <c:v>3</c:v>
                </c:pt>
                <c:pt idx="12" formatCode="0.00">
                  <c:v>4</c:v>
                </c:pt>
                <c:pt idx="13" formatCode="0.00">
                  <c:v>5</c:v>
                </c:pt>
                <c:pt idx="14" formatCode="0.00">
                  <c:v>4</c:v>
                </c:pt>
                <c:pt idx="15" formatCode="0.00">
                  <c:v>4</c:v>
                </c:pt>
              </c:numCache>
            </c:numRef>
          </c:val>
          <c:extLst>
            <c:ext xmlns:c16="http://schemas.microsoft.com/office/drawing/2014/chart" uri="{C3380CC4-5D6E-409C-BE32-E72D297353CC}">
              <c16:uniqueId val="{00000007-D2A8-49B7-94A7-95F52A180508}"/>
            </c:ext>
          </c:extLst>
        </c:ser>
        <c:ser>
          <c:idx val="8"/>
          <c:order val="8"/>
          <c:spPr>
            <a:ln w="38100">
              <a:solidFill>
                <a:srgbClr val="E87727"/>
              </a:solidFill>
            </a:ln>
          </c:spPr>
          <c:marker>
            <c:symbol val="circle"/>
            <c:size val="7"/>
            <c:spPr>
              <a:solidFill>
                <a:srgbClr val="E87727"/>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Results'!$AM$4:$AM$25</c:f>
              <c:numCache>
                <c:formatCode>General</c:formatCode>
                <c:ptCount val="22"/>
                <c:pt idx="16" formatCode="0.00">
                  <c:v>2</c:v>
                </c:pt>
                <c:pt idx="17" formatCode="0.00">
                  <c:v>2</c:v>
                </c:pt>
                <c:pt idx="18" formatCode="0.00">
                  <c:v>3</c:v>
                </c:pt>
                <c:pt idx="19" formatCode="0.00">
                  <c:v>3</c:v>
                </c:pt>
                <c:pt idx="20" formatCode="0.00">
                  <c:v>2</c:v>
                </c:pt>
                <c:pt idx="21" formatCode="0.00">
                  <c:v>3</c:v>
                </c:pt>
              </c:numCache>
            </c:numRef>
          </c:val>
          <c:extLst xmlns:c15="http://schemas.microsoft.com/office/drawing/2012/chart">
            <c:ext xmlns:c16="http://schemas.microsoft.com/office/drawing/2014/chart" uri="{C3380CC4-5D6E-409C-BE32-E72D297353CC}">
              <c16:uniqueId val="{00000008-D2A8-49B7-94A7-95F52A180508}"/>
            </c:ext>
          </c:extLst>
        </c:ser>
        <c:dLbls>
          <c:showLegendKey val="0"/>
          <c:showVal val="0"/>
          <c:showCatName val="0"/>
          <c:showSerName val="0"/>
          <c:showPercent val="0"/>
          <c:showBubbleSize val="0"/>
        </c:dLbls>
        <c:axId val="687193208"/>
        <c:axId val="687190072"/>
        <c:extLst/>
      </c:radarChart>
      <c:catAx>
        <c:axId val="687193208"/>
        <c:scaling>
          <c:orientation val="minMax"/>
        </c:scaling>
        <c:delete val="0"/>
        <c:axPos val="b"/>
        <c:majorGridlines/>
        <c:numFmt formatCode="General" sourceLinked="0"/>
        <c:majorTickMark val="out"/>
        <c:minorTickMark val="none"/>
        <c:tickLblPos val="nextTo"/>
        <c:txPr>
          <a:bodyPr/>
          <a:lstStyle/>
          <a:p>
            <a:pPr>
              <a:defRPr sz="1200" baseline="0"/>
            </a:pPr>
            <a:endParaRPr lang="en-US"/>
          </a:p>
        </c:txPr>
        <c:crossAx val="687190072"/>
        <c:crosses val="autoZero"/>
        <c:auto val="1"/>
        <c:lblAlgn val="ctr"/>
        <c:lblOffset val="100"/>
        <c:noMultiLvlLbl val="0"/>
      </c:catAx>
      <c:valAx>
        <c:axId val="687190072"/>
        <c:scaling>
          <c:orientation val="minMax"/>
          <c:max val="5"/>
          <c:min val="0"/>
        </c:scaling>
        <c:delete val="0"/>
        <c:axPos val="l"/>
        <c:majorGridlines>
          <c:spPr>
            <a:ln w="3175">
              <a:solidFill>
                <a:srgbClr val="C4C4C4"/>
              </a:solidFill>
            </a:ln>
          </c:spPr>
        </c:majorGridlines>
        <c:numFmt formatCode="0.00" sourceLinked="0"/>
        <c:majorTickMark val="cross"/>
        <c:minorTickMark val="none"/>
        <c:tickLblPos val="nextTo"/>
        <c:spPr>
          <a:ln>
            <a:solidFill>
              <a:srgbClr val="C4C4C4"/>
            </a:solidFill>
          </a:ln>
        </c:spPr>
        <c:txPr>
          <a:bodyPr/>
          <a:lstStyle/>
          <a:p>
            <a:pPr>
              <a:defRPr b="1" i="0" baseline="0"/>
            </a:pPr>
            <a:endParaRPr lang="en-US"/>
          </a:p>
        </c:txPr>
        <c:crossAx val="687193208"/>
        <c:crosses val="autoZero"/>
        <c:crossBetween val="between"/>
        <c:majorUnit val="1"/>
      </c:valAx>
    </c:plotArea>
    <c:plotVisOnly val="0"/>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12" dropStyle="combo" dx="16" fmlaLink="profile_sector" fmlaRange="sector_responses" noThreeD="1" sel="1" val="0"/>
</file>

<file path=xl/ctrlProps/ctrlProp10.xml><?xml version="1.0" encoding="utf-8"?>
<formControlPr xmlns="http://schemas.microsoft.com/office/spreadsheetml/2009/9/main" objectType="Drop" dropLines="12" dropStyle="combo" dx="16" fmlaLink="W10" fmlaRange="weighting_responses" noThreeD="1" sel="1" val="0"/>
</file>

<file path=xl/ctrlProps/ctrlProp11.xml><?xml version="1.0" encoding="utf-8"?>
<formControlPr xmlns="http://schemas.microsoft.com/office/spreadsheetml/2009/9/main" objectType="Drop" dropLines="12" dropStyle="combo" dx="16" fmlaLink="W10" fmlaRange="weighting_responses" noThreeD="1" sel="1" val="0"/>
</file>

<file path=xl/ctrlProps/ctrlProp12.xml><?xml version="1.0" encoding="utf-8"?>
<formControlPr xmlns="http://schemas.microsoft.com/office/spreadsheetml/2009/9/main" objectType="Drop" dropLines="12" dropStyle="combo" dx="16" fmlaLink="W10" fmlaRange="weighting_responses" noThreeD="1" sel="1" val="0"/>
</file>

<file path=xl/ctrlProps/ctrlProp13.xml><?xml version="1.0" encoding="utf-8"?>
<formControlPr xmlns="http://schemas.microsoft.com/office/spreadsheetml/2009/9/main" objectType="Drop" dropLines="12" dropStyle="combo" dx="16" fmlaLink="W10" fmlaRange="weighting_responses" noThreeD="1" sel="1" val="0"/>
</file>

<file path=xl/ctrlProps/ctrlProp14.xml><?xml version="1.0" encoding="utf-8"?>
<formControlPr xmlns="http://schemas.microsoft.com/office/spreadsheetml/2009/9/main" objectType="Drop" dropLines="12" dropStyle="combo" dx="16" fmlaLink="W10" fmlaRange="weighting_responses" noThreeD="1" sel="1" val="0"/>
</file>

<file path=xl/ctrlProps/ctrlProp15.xml><?xml version="1.0" encoding="utf-8"?>
<formControlPr xmlns="http://schemas.microsoft.com/office/spreadsheetml/2009/9/main" objectType="Drop" dropLines="12" dropStyle="combo" dx="16" fmlaLink="W10" fmlaRange="weighting_responses" noThreeD="1" sel="1" val="0"/>
</file>

<file path=xl/ctrlProps/ctrlProp16.xml><?xml version="1.0" encoding="utf-8"?>
<formControlPr xmlns="http://schemas.microsoft.com/office/spreadsheetml/2009/9/main" objectType="Drop" dropLines="12" dropStyle="combo" dx="16" fmlaLink="W10" fmlaRange="weighting_responses" noThreeD="1" sel="1" val="0"/>
</file>

<file path=xl/ctrlProps/ctrlProp17.xml><?xml version="1.0" encoding="utf-8"?>
<formControlPr xmlns="http://schemas.microsoft.com/office/spreadsheetml/2009/9/main" objectType="Drop" dropLines="12" dropStyle="combo" dx="16" fmlaLink="W10" fmlaRange="weighting_responses" noThreeD="1" sel="1" val="0"/>
</file>

<file path=xl/ctrlProps/ctrlProp18.xml><?xml version="1.0" encoding="utf-8"?>
<formControlPr xmlns="http://schemas.microsoft.com/office/spreadsheetml/2009/9/main" objectType="Drop" dropLines="12" dropStyle="combo" dx="16" fmlaLink="W10" fmlaRange="weighting_responses" noThreeD="1" sel="1" val="0"/>
</file>

<file path=xl/ctrlProps/ctrlProp19.xml><?xml version="1.0" encoding="utf-8"?>
<formControlPr xmlns="http://schemas.microsoft.com/office/spreadsheetml/2009/9/main" objectType="Drop" dropLines="12" dropStyle="combo" dx="16" fmlaLink="W10" fmlaRange="weighting_responses" noThreeD="1" sel="1" val="0"/>
</file>

<file path=xl/ctrlProps/ctrlProp2.xml><?xml version="1.0" encoding="utf-8"?>
<formControlPr xmlns="http://schemas.microsoft.com/office/spreadsheetml/2009/9/main" objectType="Drop" dropLines="12" dropStyle="combo" dx="16" fmlaLink="profile_size_of_business" fmlaRange="size_of_business_responses" noThreeD="1" sel="1" val="0"/>
</file>

<file path=xl/ctrlProps/ctrlProp20.xml><?xml version="1.0" encoding="utf-8"?>
<formControlPr xmlns="http://schemas.microsoft.com/office/spreadsheetml/2009/9/main" objectType="Drop" dropLines="12" dropStyle="combo" dx="16" fmlaLink="W10" fmlaRange="weighting_responses" noThreeD="1" sel="1" val="0"/>
</file>

<file path=xl/ctrlProps/ctrlProp21.xml><?xml version="1.0" encoding="utf-8"?>
<formControlPr xmlns="http://schemas.microsoft.com/office/spreadsheetml/2009/9/main" objectType="Drop" dropLines="12" dropStyle="combo" dx="16" fmlaLink="W10" fmlaRange="weighting_responses" noThreeD="1" sel="1" val="0"/>
</file>

<file path=xl/ctrlProps/ctrlProp22.xml><?xml version="1.0" encoding="utf-8"?>
<formControlPr xmlns="http://schemas.microsoft.com/office/spreadsheetml/2009/9/main" objectType="Drop" dropLines="12" dropStyle="combo" dx="16" fmlaLink="W10" fmlaRange="weighting_responses" noThreeD="1" sel="1" val="0"/>
</file>

<file path=xl/ctrlProps/ctrlProp23.xml><?xml version="1.0" encoding="utf-8"?>
<formControlPr xmlns="http://schemas.microsoft.com/office/spreadsheetml/2009/9/main" objectType="Drop" dropLines="12" dropStyle="combo" dx="16" fmlaLink="W10" fmlaRange="weighting_responses" noThreeD="1" sel="1" val="0"/>
</file>

<file path=xl/ctrlProps/ctrlProp24.xml><?xml version="1.0" encoding="utf-8"?>
<formControlPr xmlns="http://schemas.microsoft.com/office/spreadsheetml/2009/9/main" objectType="Drop" dropLines="12" dropStyle="combo" dx="16" fmlaLink="W10" fmlaRange="weighting_responses" noThreeD="1" sel="1" val="0"/>
</file>

<file path=xl/ctrlProps/ctrlProp25.xml><?xml version="1.0" encoding="utf-8"?>
<formControlPr xmlns="http://schemas.microsoft.com/office/spreadsheetml/2009/9/main" objectType="Drop" dropLines="12" dropStyle="combo" dx="16" fmlaLink="W10" fmlaRange="weighting_responses" noThreeD="1" sel="1" val="0"/>
</file>

<file path=xl/ctrlProps/ctrlProp26.xml><?xml version="1.0" encoding="utf-8"?>
<formControlPr xmlns="http://schemas.microsoft.com/office/spreadsheetml/2009/9/main" objectType="Drop" dropLines="12" dropStyle="combo" dx="16" fmlaLink="W10" fmlaRange="weighting_responses" noThreeD="1" sel="1" val="0"/>
</file>

<file path=xl/ctrlProps/ctrlProp27.xml><?xml version="1.0" encoding="utf-8"?>
<formControlPr xmlns="http://schemas.microsoft.com/office/spreadsheetml/2009/9/main" objectType="Drop" dropLines="12" dropStyle="combo" dx="16" fmlaLink="AH9" fmlaRange="maturity_response_frame" noThreeD="1" sel="1" val="0"/>
</file>

<file path=xl/ctrlProps/ctrlProp28.xml><?xml version="1.0" encoding="utf-8"?>
<formControlPr xmlns="http://schemas.microsoft.com/office/spreadsheetml/2009/9/main" objectType="Drop" dropLines="12" dropStyle="combo" dx="16" fmlaLink="AH12" fmlaRange="maturity_response_frame" noThreeD="1" sel="1" val="0"/>
</file>

<file path=xl/ctrlProps/ctrlProp29.xml><?xml version="1.0" encoding="utf-8"?>
<formControlPr xmlns="http://schemas.microsoft.com/office/spreadsheetml/2009/9/main" objectType="Drop" dropLines="12" dropStyle="combo" dx="16" fmlaLink="AH15" fmlaRange="maturity_response_frame" noThreeD="1" sel="1" val="0"/>
</file>

<file path=xl/ctrlProps/ctrlProp3.xml><?xml version="1.0" encoding="utf-8"?>
<formControlPr xmlns="http://schemas.microsoft.com/office/spreadsheetml/2009/9/main" objectType="Drop" dropLines="12" dropStyle="combo" dx="16" fmlaLink="profile_type_of_business" fmlaRange="type_of_business_responses" noThreeD="1" sel="1" val="0"/>
</file>

<file path=xl/ctrlProps/ctrlProp30.xml><?xml version="1.0" encoding="utf-8"?>
<formControlPr xmlns="http://schemas.microsoft.com/office/spreadsheetml/2009/9/main" objectType="Drop" dropLines="12" dropStyle="combo" dx="16" fmlaLink="AH18" fmlaRange="maturity_response_frame" noThreeD="1" sel="1" val="0"/>
</file>

<file path=xl/ctrlProps/ctrlProp31.xml><?xml version="1.0" encoding="utf-8"?>
<formControlPr xmlns="http://schemas.microsoft.com/office/spreadsheetml/2009/9/main" objectType="Drop" dropLines="12" dropStyle="combo" dx="16" fmlaLink="AH21" fmlaRange="maturity_response_frame" noThreeD="1" sel="1" val="0"/>
</file>

<file path=xl/ctrlProps/ctrlProp32.xml><?xml version="1.0" encoding="utf-8"?>
<formControlPr xmlns="http://schemas.microsoft.com/office/spreadsheetml/2009/9/main" objectType="Drop" dropLines="12" dropStyle="combo" dx="16" fmlaLink="AH24" fmlaRange="maturity_response_frame" noThreeD="1" sel="1" val="0"/>
</file>

<file path=xl/ctrlProps/ctrlProp33.xml><?xml version="1.0" encoding="utf-8"?>
<formControlPr xmlns="http://schemas.microsoft.com/office/spreadsheetml/2009/9/main" objectType="Drop" dropLines="12" dropStyle="combo" dx="16" fmlaLink="AH27" fmlaRange="maturity_response_frame" noThreeD="1" sel="1" val="0"/>
</file>

<file path=xl/ctrlProps/ctrlProp34.xml><?xml version="1.0" encoding="utf-8"?>
<formControlPr xmlns="http://schemas.microsoft.com/office/spreadsheetml/2009/9/main" objectType="Drop" dropLines="12" dropStyle="combo" dx="16" fmlaLink="AH9" fmlaRange="maturity_response_frame" noThreeD="1" sel="1" val="0"/>
</file>

<file path=xl/ctrlProps/ctrlProp35.xml><?xml version="1.0" encoding="utf-8"?>
<formControlPr xmlns="http://schemas.microsoft.com/office/spreadsheetml/2009/9/main" objectType="Drop" dropLines="12" dropStyle="combo" dx="16" fmlaLink="AH12" fmlaRange="maturity_response_frame" noThreeD="1" sel="1" val="0"/>
</file>

<file path=xl/ctrlProps/ctrlProp36.xml><?xml version="1.0" encoding="utf-8"?>
<formControlPr xmlns="http://schemas.microsoft.com/office/spreadsheetml/2009/9/main" objectType="Drop" dropLines="12" dropStyle="combo" dx="16" fmlaLink="AH15" fmlaRange="maturity_response_frame" noThreeD="1" sel="1" val="0"/>
</file>

<file path=xl/ctrlProps/ctrlProp37.xml><?xml version="1.0" encoding="utf-8"?>
<formControlPr xmlns="http://schemas.microsoft.com/office/spreadsheetml/2009/9/main" objectType="Drop" dropLines="12" dropStyle="combo" dx="16" fmlaLink="AH18" fmlaRange="maturity_response_frame" noThreeD="1" sel="1" val="0"/>
</file>

<file path=xl/ctrlProps/ctrlProp38.xml><?xml version="1.0" encoding="utf-8"?>
<formControlPr xmlns="http://schemas.microsoft.com/office/spreadsheetml/2009/9/main" objectType="Drop" dropLines="12" dropStyle="combo" dx="16" fmlaLink="AH22" fmlaRange="maturity_response_frame" noThreeD="1" sel="1" val="0"/>
</file>

<file path=xl/ctrlProps/ctrlProp39.xml><?xml version="1.0" encoding="utf-8"?>
<formControlPr xmlns="http://schemas.microsoft.com/office/spreadsheetml/2009/9/main" objectType="Drop" dropLines="12" dropStyle="combo" dx="16" fmlaLink="AH25" fmlaRange="maturity_response_frame" noThreeD="1" sel="1" val="0"/>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Drop" dropLines="12" dropStyle="combo" dx="16" fmlaLink="AH28" fmlaRange="maturity_response_frame" noThreeD="1" sel="1" val="0"/>
</file>

<file path=xl/ctrlProps/ctrlProp41.xml><?xml version="1.0" encoding="utf-8"?>
<formControlPr xmlns="http://schemas.microsoft.com/office/spreadsheetml/2009/9/main" objectType="Drop" dropLines="12" dropStyle="combo" dx="16" fmlaLink="AH31" fmlaRange="maturity_response_frame" noThreeD="1" sel="1" val="0"/>
</file>

<file path=xl/ctrlProps/ctrlProp42.xml><?xml version="1.0" encoding="utf-8"?>
<formControlPr xmlns="http://schemas.microsoft.com/office/spreadsheetml/2009/9/main" objectType="Drop" dropLines="12" dropStyle="combo" dx="16" fmlaLink="AH34" fmlaRange="maturity_response_frame" noThreeD="1" sel="1" val="0"/>
</file>

<file path=xl/ctrlProps/ctrlProp43.xml><?xml version="1.0" encoding="utf-8"?>
<formControlPr xmlns="http://schemas.microsoft.com/office/spreadsheetml/2009/9/main" objectType="Drop" dropLines="12" dropStyle="combo" dx="16" fmlaLink="AH9" fmlaRange="maturity_response_frame" noThreeD="1" sel="1" val="0"/>
</file>

<file path=xl/ctrlProps/ctrlProp44.xml><?xml version="1.0" encoding="utf-8"?>
<formControlPr xmlns="http://schemas.microsoft.com/office/spreadsheetml/2009/9/main" objectType="Drop" dropLines="12" dropStyle="combo" dx="16" fmlaLink="AH12" fmlaRange="maturity_response_frame" noThreeD="1" sel="1" val="0"/>
</file>

<file path=xl/ctrlProps/ctrlProp45.xml><?xml version="1.0" encoding="utf-8"?>
<formControlPr xmlns="http://schemas.microsoft.com/office/spreadsheetml/2009/9/main" objectType="Drop" dropLines="12" dropStyle="combo" dx="16" fmlaLink="AH15" fmlaRange="maturity_response_frame" noThreeD="1" sel="1" val="0"/>
</file>

<file path=xl/ctrlProps/ctrlProp46.xml><?xml version="1.0" encoding="utf-8"?>
<formControlPr xmlns="http://schemas.microsoft.com/office/spreadsheetml/2009/9/main" objectType="Drop" dropLines="12" dropStyle="combo" dx="16" fmlaLink="AH18" fmlaRange="maturity_response_frame" noThreeD="1" sel="1" val="0"/>
</file>

<file path=xl/ctrlProps/ctrlProp47.xml><?xml version="1.0" encoding="utf-8"?>
<formControlPr xmlns="http://schemas.microsoft.com/office/spreadsheetml/2009/9/main" objectType="Drop" dropLines="12" dropStyle="combo" dx="16" fmlaLink="AH21" fmlaRange="maturity_response_frame" noThreeD="1" sel="1" val="0"/>
</file>

<file path=xl/ctrlProps/ctrlProp48.xml><?xml version="1.0" encoding="utf-8"?>
<formControlPr xmlns="http://schemas.microsoft.com/office/spreadsheetml/2009/9/main" objectType="Drop" dropLines="12" dropStyle="combo" dx="16" fmlaLink="AH24" fmlaRange="maturity_response_frame" noThreeD="1" sel="1" val="0"/>
</file>

<file path=xl/ctrlProps/ctrlProp5.xml><?xml version="1.0" encoding="utf-8"?>
<formControlPr xmlns="http://schemas.microsoft.com/office/spreadsheetml/2009/9/main" objectType="Drop" dropLines="12" dropStyle="combo" dx="16" fmlaLink="W10" fmlaRange="weighting_responses" noThreeD="1" sel="1" val="0"/>
</file>

<file path=xl/ctrlProps/ctrlProp6.xml><?xml version="1.0" encoding="utf-8"?>
<formControlPr xmlns="http://schemas.microsoft.com/office/spreadsheetml/2009/9/main" objectType="Drop" dropLines="12" dropStyle="combo" dx="16" fmlaLink="W10" fmlaRange="weighting_responses" noThreeD="1" sel="1" val="0"/>
</file>

<file path=xl/ctrlProps/ctrlProp7.xml><?xml version="1.0" encoding="utf-8"?>
<formControlPr xmlns="http://schemas.microsoft.com/office/spreadsheetml/2009/9/main" objectType="Drop" dropLines="12" dropStyle="combo" dx="16" fmlaLink="W10" fmlaRange="weighting_responses" noThreeD="1" sel="1" val="0"/>
</file>

<file path=xl/ctrlProps/ctrlProp8.xml><?xml version="1.0" encoding="utf-8"?>
<formControlPr xmlns="http://schemas.microsoft.com/office/spreadsheetml/2009/9/main" objectType="Drop" dropLines="12" dropStyle="combo" dx="16" fmlaLink="W10" fmlaRange="weighting_responses" noThreeD="1" sel="1" val="0"/>
</file>

<file path=xl/ctrlProps/ctrlProp9.xml><?xml version="1.0" encoding="utf-8"?>
<formControlPr xmlns="http://schemas.microsoft.com/office/spreadsheetml/2009/9/main" objectType="Drop" dropLines="12" dropStyle="combo" dx="16" fmlaLink="W10" fmlaRange="weighting_responses"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jerakano.com/"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57153</xdr:colOff>
      <xdr:row>0</xdr:row>
      <xdr:rowOff>76200</xdr:rowOff>
    </xdr:from>
    <xdr:to>
      <xdr:col>2</xdr:col>
      <xdr:colOff>181137</xdr:colOff>
      <xdr:row>5</xdr:row>
      <xdr:rowOff>19321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8" y="76200"/>
          <a:ext cx="819309"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72</xdr:row>
      <xdr:rowOff>28574</xdr:rowOff>
    </xdr:from>
    <xdr:to>
      <xdr:col>6</xdr:col>
      <xdr:colOff>457200</xdr:colOff>
      <xdr:row>74</xdr:row>
      <xdr:rowOff>19811</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52775" y="14001749"/>
          <a:ext cx="962025" cy="267462"/>
        </a:xfrm>
        <a:prstGeom prst="rect">
          <a:avLst/>
        </a:prstGeom>
      </xdr:spPr>
    </xdr:pic>
    <xdr:clientData/>
  </xdr:twoCellAnchor>
  <xdr:twoCellAnchor editAs="oneCell">
    <xdr:from>
      <xdr:col>1</xdr:col>
      <xdr:colOff>38100</xdr:colOff>
      <xdr:row>42</xdr:row>
      <xdr:rowOff>457200</xdr:rowOff>
    </xdr:from>
    <xdr:to>
      <xdr:col>12</xdr:col>
      <xdr:colOff>419100</xdr:colOff>
      <xdr:row>57</xdr:row>
      <xdr:rowOff>2552700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647700" y="8905875"/>
          <a:ext cx="7086600" cy="7086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76200</xdr:rowOff>
    </xdr:from>
    <xdr:to>
      <xdr:col>2</xdr:col>
      <xdr:colOff>182625</xdr:colOff>
      <xdr:row>5</xdr:row>
      <xdr:rowOff>19321</xdr:rowOff>
    </xdr:to>
    <xdr:pic>
      <xdr:nvPicPr>
        <xdr:cNvPr id="2" name="Picture 1">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76200"/>
          <a:ext cx="8208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9</xdr:col>
      <xdr:colOff>382270</xdr:colOff>
      <xdr:row>31</xdr:row>
      <xdr:rowOff>88900</xdr:rowOff>
    </xdr:to>
    <xdr:pic>
      <xdr:nvPicPr>
        <xdr:cNvPr id="3" name="Picture 2" descr="C:\Users\Jayne\AppData\Local\Microsoft\Windows\Temporary Internet Files\Content.Word\crestste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3600450"/>
          <a:ext cx="4039870" cy="2565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276225</xdr:colOff>
      <xdr:row>0</xdr:row>
      <xdr:rowOff>76200</xdr:rowOff>
    </xdr:from>
    <xdr:to>
      <xdr:col>4</xdr:col>
      <xdr:colOff>619125</xdr:colOff>
      <xdr:row>0</xdr:row>
      <xdr:rowOff>971821</xdr:rowOff>
    </xdr:to>
    <xdr:pic>
      <xdr:nvPicPr>
        <xdr:cNvPr id="36" name="Picture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76200"/>
          <a:ext cx="81915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47625</xdr:rowOff>
        </xdr:from>
        <xdr:to>
          <xdr:col>6</xdr:col>
          <xdr:colOff>1123950</xdr:colOff>
          <xdr:row>16</xdr:row>
          <xdr:rowOff>266700</xdr:rowOff>
        </xdr:to>
        <xdr:sp macro="" textlink="">
          <xdr:nvSpPr>
            <xdr:cNvPr id="25640" name="Drop Down 40" hidden="1">
              <a:extLst>
                <a:ext uri="{63B3BB69-23CF-44E3-9099-C40C66FF867C}">
                  <a14:compatExt spid="_x0000_s25640"/>
                </a:ext>
                <a:ext uri="{FF2B5EF4-FFF2-40B4-BE49-F238E27FC236}">
                  <a16:creationId xmlns:a16="http://schemas.microsoft.com/office/drawing/2014/main" id="{00000000-0008-0000-0200-00002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47625</xdr:rowOff>
        </xdr:from>
        <xdr:to>
          <xdr:col>6</xdr:col>
          <xdr:colOff>1123950</xdr:colOff>
          <xdr:row>19</xdr:row>
          <xdr:rowOff>266700</xdr:rowOff>
        </xdr:to>
        <xdr:sp macro="" textlink="">
          <xdr:nvSpPr>
            <xdr:cNvPr id="25646" name="Drop Down 46" hidden="1">
              <a:extLst>
                <a:ext uri="{63B3BB69-23CF-44E3-9099-C40C66FF867C}">
                  <a14:compatExt spid="_x0000_s25646"/>
                </a:ext>
                <a:ext uri="{FF2B5EF4-FFF2-40B4-BE49-F238E27FC236}">
                  <a16:creationId xmlns:a16="http://schemas.microsoft.com/office/drawing/2014/main" id="{00000000-0008-0000-0200-00002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47625</xdr:rowOff>
        </xdr:from>
        <xdr:to>
          <xdr:col>6</xdr:col>
          <xdr:colOff>1123950</xdr:colOff>
          <xdr:row>22</xdr:row>
          <xdr:rowOff>266700</xdr:rowOff>
        </xdr:to>
        <xdr:sp macro="" textlink="">
          <xdr:nvSpPr>
            <xdr:cNvPr id="25647" name="Drop Down 47" hidden="1">
              <a:extLst>
                <a:ext uri="{63B3BB69-23CF-44E3-9099-C40C66FF867C}">
                  <a14:compatExt spid="_x0000_s25647"/>
                </a:ext>
                <a:ext uri="{FF2B5EF4-FFF2-40B4-BE49-F238E27FC236}">
                  <a16:creationId xmlns:a16="http://schemas.microsoft.com/office/drawing/2014/main" id="{00000000-0008-0000-0200-00002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35719</xdr:colOff>
      <xdr:row>5</xdr:row>
      <xdr:rowOff>202402</xdr:rowOff>
    </xdr:from>
    <xdr:to>
      <xdr:col>6</xdr:col>
      <xdr:colOff>762000</xdr:colOff>
      <xdr:row>7</xdr:row>
      <xdr:rowOff>83339</xdr:rowOff>
    </xdr:to>
    <xdr:sp macro="" textlink="">
      <xdr:nvSpPr>
        <xdr:cNvPr id="4" name="Left Arrow 3">
          <a:extLst>
            <a:ext uri="{FF2B5EF4-FFF2-40B4-BE49-F238E27FC236}">
              <a16:creationId xmlns:a16="http://schemas.microsoft.com/office/drawing/2014/main" id="{00000000-0008-0000-0300-000004000000}"/>
            </a:ext>
          </a:extLst>
        </xdr:cNvPr>
        <xdr:cNvSpPr/>
      </xdr:nvSpPr>
      <xdr:spPr>
        <a:xfrm>
          <a:off x="7524750" y="2571746"/>
          <a:ext cx="726281" cy="642937"/>
        </a:xfrm>
        <a:prstGeom prst="leftArrow">
          <a:avLst/>
        </a:prstGeom>
        <a:gradFill>
          <a:gsLst>
            <a:gs pos="0">
              <a:schemeClr val="bg1">
                <a:lumMod val="65000"/>
              </a:schemeClr>
            </a:gs>
            <a:gs pos="39999">
              <a:schemeClr val="bg1">
                <a:lumMod val="65000"/>
              </a:schemeClr>
            </a:gs>
            <a:gs pos="70000">
              <a:schemeClr val="bg1">
                <a:lumMod val="65000"/>
              </a:schemeClr>
            </a:gs>
            <a:gs pos="100000">
              <a:schemeClr val="bg1">
                <a:lumMod val="65000"/>
              </a:schemeClr>
            </a:gs>
          </a:gsLst>
          <a:lin ang="0" scaled="0"/>
        </a:gra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3</xdr:col>
      <xdr:colOff>628651</xdr:colOff>
      <xdr:row>0</xdr:row>
      <xdr:rowOff>95250</xdr:rowOff>
    </xdr:from>
    <xdr:to>
      <xdr:col>3</xdr:col>
      <xdr:colOff>1654651</xdr:colOff>
      <xdr:row>0</xdr:row>
      <xdr:rowOff>1214850</xdr:rowOff>
    </xdr:to>
    <xdr:pic>
      <xdr:nvPicPr>
        <xdr:cNvPr id="3" name="Picture 2">
          <a:extLst>
            <a:ext uri="{FF2B5EF4-FFF2-40B4-BE49-F238E27FC236}">
              <a16:creationId xmlns:a16="http://schemas.microsoft.com/office/drawing/2014/main" id="{00000000-0008-0000-0300-000003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214" y="95250"/>
          <a:ext cx="1026000" cy="11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9525</xdr:colOff>
          <xdr:row>4</xdr:row>
          <xdr:rowOff>19050</xdr:rowOff>
        </xdr:from>
        <xdr:to>
          <xdr:col>9</xdr:col>
          <xdr:colOff>57150</xdr:colOff>
          <xdr:row>10</xdr:row>
          <xdr:rowOff>238125</xdr:rowOff>
        </xdr:to>
        <xdr:sp macro="" textlink="">
          <xdr:nvSpPr>
            <xdr:cNvPr id="67593" name="Group Box 9" hidden="1">
              <a:extLst>
                <a:ext uri="{63B3BB69-23CF-44E3-9099-C40C66FF867C}">
                  <a14:compatExt spid="_x0000_s67593"/>
                </a:ext>
                <a:ext uri="{FF2B5EF4-FFF2-40B4-BE49-F238E27FC236}">
                  <a16:creationId xmlns:a16="http://schemas.microsoft.com/office/drawing/2014/main" id="{00000000-0008-0000-0300-000009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xdr:row>
          <xdr:rowOff>161925</xdr:rowOff>
        </xdr:from>
        <xdr:to>
          <xdr:col>8</xdr:col>
          <xdr:colOff>809625</xdr:colOff>
          <xdr:row>6</xdr:row>
          <xdr:rowOff>95250</xdr:rowOff>
        </xdr:to>
        <xdr:sp macro="" textlink="">
          <xdr:nvSpPr>
            <xdr:cNvPr id="67594" name="OptionButton1" hidden="1">
              <a:extLst>
                <a:ext uri="{63B3BB69-23CF-44E3-9099-C40C66FF867C}">
                  <a14:compatExt spid="_x0000_s67594"/>
                </a:ext>
                <a:ext uri="{FF2B5EF4-FFF2-40B4-BE49-F238E27FC236}">
                  <a16:creationId xmlns:a16="http://schemas.microsoft.com/office/drawing/2014/main" id="{00000000-0008-0000-0300-00000A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xdr:row>
          <xdr:rowOff>161925</xdr:rowOff>
        </xdr:from>
        <xdr:to>
          <xdr:col>8</xdr:col>
          <xdr:colOff>847725</xdr:colOff>
          <xdr:row>7</xdr:row>
          <xdr:rowOff>95250</xdr:rowOff>
        </xdr:to>
        <xdr:sp macro="" textlink="">
          <xdr:nvSpPr>
            <xdr:cNvPr id="67595" name="OptionButton2" hidden="1">
              <a:extLst>
                <a:ext uri="{63B3BB69-23CF-44E3-9099-C40C66FF867C}">
                  <a14:compatExt spid="_x0000_s67595"/>
                </a:ext>
                <a:ext uri="{FF2B5EF4-FFF2-40B4-BE49-F238E27FC236}">
                  <a16:creationId xmlns:a16="http://schemas.microsoft.com/office/drawing/2014/main" id="{00000000-0008-0000-0300-00000B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161925</xdr:rowOff>
        </xdr:from>
        <xdr:to>
          <xdr:col>8</xdr:col>
          <xdr:colOff>866775</xdr:colOff>
          <xdr:row>8</xdr:row>
          <xdr:rowOff>95250</xdr:rowOff>
        </xdr:to>
        <xdr:sp macro="" textlink="">
          <xdr:nvSpPr>
            <xdr:cNvPr id="67596" name="OptionButton3" hidden="1">
              <a:extLst>
                <a:ext uri="{63B3BB69-23CF-44E3-9099-C40C66FF867C}">
                  <a14:compatExt spid="_x0000_s67596"/>
                </a:ext>
                <a:ext uri="{FF2B5EF4-FFF2-40B4-BE49-F238E27FC236}">
                  <a16:creationId xmlns:a16="http://schemas.microsoft.com/office/drawing/2014/main" id="{00000000-0008-0000-0300-00000C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xdr:row>
          <xdr:rowOff>171450</xdr:rowOff>
        </xdr:from>
        <xdr:to>
          <xdr:col>8</xdr:col>
          <xdr:colOff>752475</xdr:colOff>
          <xdr:row>10</xdr:row>
          <xdr:rowOff>95250</xdr:rowOff>
        </xdr:to>
        <xdr:sp macro="" textlink="">
          <xdr:nvSpPr>
            <xdr:cNvPr id="67597" name="OptionButton4" hidden="1">
              <a:extLst>
                <a:ext uri="{63B3BB69-23CF-44E3-9099-C40C66FF867C}">
                  <a14:compatExt spid="_x0000_s67597"/>
                </a:ext>
                <a:ext uri="{FF2B5EF4-FFF2-40B4-BE49-F238E27FC236}">
                  <a16:creationId xmlns:a16="http://schemas.microsoft.com/office/drawing/2014/main" id="{00000000-0008-0000-0300-00000D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9</xdr:col>
      <xdr:colOff>95250</xdr:colOff>
      <xdr:row>5</xdr:row>
      <xdr:rowOff>202402</xdr:rowOff>
    </xdr:from>
    <xdr:to>
      <xdr:col>9</xdr:col>
      <xdr:colOff>833438</xdr:colOff>
      <xdr:row>7</xdr:row>
      <xdr:rowOff>83339</xdr:rowOff>
    </xdr:to>
    <xdr:sp macro="" textlink="">
      <xdr:nvSpPr>
        <xdr:cNvPr id="10" name="Left Arrow 9">
          <a:extLst>
            <a:ext uri="{FF2B5EF4-FFF2-40B4-BE49-F238E27FC236}">
              <a16:creationId xmlns:a16="http://schemas.microsoft.com/office/drawing/2014/main" id="{00000000-0008-0000-0300-00000A000000}"/>
            </a:ext>
          </a:extLst>
        </xdr:cNvPr>
        <xdr:cNvSpPr/>
      </xdr:nvSpPr>
      <xdr:spPr>
        <a:xfrm>
          <a:off x="10060781" y="2571746"/>
          <a:ext cx="738188" cy="642937"/>
        </a:xfrm>
        <a:prstGeom prst="leftArrow">
          <a:avLst/>
        </a:prstGeom>
        <a:gradFill>
          <a:gsLst>
            <a:gs pos="0">
              <a:schemeClr val="bg1">
                <a:lumMod val="65000"/>
              </a:schemeClr>
            </a:gs>
            <a:gs pos="39999">
              <a:schemeClr val="bg1">
                <a:lumMod val="65000"/>
              </a:schemeClr>
            </a:gs>
            <a:gs pos="70000">
              <a:schemeClr val="bg1">
                <a:lumMod val="65000"/>
              </a:schemeClr>
            </a:gs>
            <a:gs pos="100000">
              <a:schemeClr val="bg1">
                <a:lumMod val="65000"/>
              </a:schemeClr>
            </a:gs>
          </a:gsLst>
          <a:lin ang="0" scaled="0"/>
        </a:gra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4</xdr:row>
          <xdr:rowOff>152400</xdr:rowOff>
        </xdr:from>
        <xdr:to>
          <xdr:col>8</xdr:col>
          <xdr:colOff>857250</xdr:colOff>
          <xdr:row>5</xdr:row>
          <xdr:rowOff>85725</xdr:rowOff>
        </xdr:to>
        <xdr:sp macro="" textlink="">
          <xdr:nvSpPr>
            <xdr:cNvPr id="67599" name="OptionButton5" hidden="1">
              <a:extLst>
                <a:ext uri="{63B3BB69-23CF-44E3-9099-C40C66FF867C}">
                  <a14:compatExt spid="_x0000_s67599"/>
                </a:ext>
                <a:ext uri="{FF2B5EF4-FFF2-40B4-BE49-F238E27FC236}">
                  <a16:creationId xmlns:a16="http://schemas.microsoft.com/office/drawing/2014/main" id="{00000000-0008-0000-0300-00000F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xdr:row>
          <xdr:rowOff>171450</xdr:rowOff>
        </xdr:from>
        <xdr:to>
          <xdr:col>8</xdr:col>
          <xdr:colOff>895350</xdr:colOff>
          <xdr:row>9</xdr:row>
          <xdr:rowOff>104775</xdr:rowOff>
        </xdr:to>
        <xdr:sp macro="" textlink="">
          <xdr:nvSpPr>
            <xdr:cNvPr id="67600" name="OptionButton6" hidden="1">
              <a:extLst>
                <a:ext uri="{63B3BB69-23CF-44E3-9099-C40C66FF867C}">
                  <a14:compatExt spid="_x0000_s67600"/>
                </a:ext>
                <a:ext uri="{FF2B5EF4-FFF2-40B4-BE49-F238E27FC236}">
                  <a16:creationId xmlns:a16="http://schemas.microsoft.com/office/drawing/2014/main" id="{00000000-0008-0000-0300-000010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428625</xdr:colOff>
          <xdr:row>9</xdr:row>
          <xdr:rowOff>85725</xdr:rowOff>
        </xdr:from>
        <xdr:to>
          <xdr:col>6</xdr:col>
          <xdr:colOff>933450</xdr:colOff>
          <xdr:row>9</xdr:row>
          <xdr:rowOff>304800</xdr:rowOff>
        </xdr:to>
        <xdr:sp macro="" textlink="">
          <xdr:nvSpPr>
            <xdr:cNvPr id="79921" name="Drop Down 1073" hidden="1">
              <a:extLst>
                <a:ext uri="{63B3BB69-23CF-44E3-9099-C40C66FF867C}">
                  <a14:compatExt spid="_x0000_s79921"/>
                </a:ext>
                <a:ext uri="{FF2B5EF4-FFF2-40B4-BE49-F238E27FC236}">
                  <a16:creationId xmlns:a16="http://schemas.microsoft.com/office/drawing/2014/main" id="{00000000-0008-0000-0400-000031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editAs="oneCell">
    <xdr:from>
      <xdr:col>5</xdr:col>
      <xdr:colOff>2571750</xdr:colOff>
      <xdr:row>3</xdr:row>
      <xdr:rowOff>38100</xdr:rowOff>
    </xdr:from>
    <xdr:to>
      <xdr:col>6</xdr:col>
      <xdr:colOff>163829</xdr:colOff>
      <xdr:row>7</xdr:row>
      <xdr:rowOff>361950</xdr:rowOff>
    </xdr:to>
    <xdr:pic>
      <xdr:nvPicPr>
        <xdr:cNvPr id="531" name="Picture 530">
          <a:extLst>
            <a:ext uri="{FF2B5EF4-FFF2-40B4-BE49-F238E27FC236}">
              <a16:creationId xmlns:a16="http://schemas.microsoft.com/office/drawing/2014/main" id="{00000000-0008-0000-0400-00001302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29075" y="609600"/>
          <a:ext cx="2087879" cy="13049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428625</xdr:colOff>
          <xdr:row>12</xdr:row>
          <xdr:rowOff>85725</xdr:rowOff>
        </xdr:from>
        <xdr:to>
          <xdr:col>6</xdr:col>
          <xdr:colOff>933450</xdr:colOff>
          <xdr:row>12</xdr:row>
          <xdr:rowOff>304800</xdr:rowOff>
        </xdr:to>
        <xdr:sp macro="" textlink="">
          <xdr:nvSpPr>
            <xdr:cNvPr id="112596" name="Drop Down 3028" hidden="1">
              <a:extLst>
                <a:ext uri="{63B3BB69-23CF-44E3-9099-C40C66FF867C}">
                  <a14:compatExt spid="_x0000_s112596"/>
                </a:ext>
                <a:ext uri="{FF2B5EF4-FFF2-40B4-BE49-F238E27FC236}">
                  <a16:creationId xmlns:a16="http://schemas.microsoft.com/office/drawing/2014/main" id="{00000000-0008-0000-0400-0000D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xdr:row>
          <xdr:rowOff>85725</xdr:rowOff>
        </xdr:from>
        <xdr:to>
          <xdr:col>6</xdr:col>
          <xdr:colOff>933450</xdr:colOff>
          <xdr:row>15</xdr:row>
          <xdr:rowOff>304800</xdr:rowOff>
        </xdr:to>
        <xdr:sp macro="" textlink="">
          <xdr:nvSpPr>
            <xdr:cNvPr id="112597" name="Drop Down 3029" hidden="1">
              <a:extLst>
                <a:ext uri="{63B3BB69-23CF-44E3-9099-C40C66FF867C}">
                  <a14:compatExt spid="_x0000_s112597"/>
                </a:ext>
                <a:ext uri="{FF2B5EF4-FFF2-40B4-BE49-F238E27FC236}">
                  <a16:creationId xmlns:a16="http://schemas.microsoft.com/office/drawing/2014/main" id="{00000000-0008-0000-0400-0000D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18</xdr:row>
          <xdr:rowOff>85725</xdr:rowOff>
        </xdr:from>
        <xdr:to>
          <xdr:col>6</xdr:col>
          <xdr:colOff>933450</xdr:colOff>
          <xdr:row>18</xdr:row>
          <xdr:rowOff>304800</xdr:rowOff>
        </xdr:to>
        <xdr:sp macro="" textlink="">
          <xdr:nvSpPr>
            <xdr:cNvPr id="112598" name="Drop Down 3030" hidden="1">
              <a:extLst>
                <a:ext uri="{63B3BB69-23CF-44E3-9099-C40C66FF867C}">
                  <a14:compatExt spid="_x0000_s112598"/>
                </a:ext>
                <a:ext uri="{FF2B5EF4-FFF2-40B4-BE49-F238E27FC236}">
                  <a16:creationId xmlns:a16="http://schemas.microsoft.com/office/drawing/2014/main" id="{00000000-0008-0000-0400-0000D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21</xdr:row>
          <xdr:rowOff>85725</xdr:rowOff>
        </xdr:from>
        <xdr:to>
          <xdr:col>6</xdr:col>
          <xdr:colOff>933450</xdr:colOff>
          <xdr:row>21</xdr:row>
          <xdr:rowOff>304800</xdr:rowOff>
        </xdr:to>
        <xdr:sp macro="" textlink="">
          <xdr:nvSpPr>
            <xdr:cNvPr id="112599" name="Drop Down 3031" hidden="1">
              <a:extLst>
                <a:ext uri="{63B3BB69-23CF-44E3-9099-C40C66FF867C}">
                  <a14:compatExt spid="_x0000_s112599"/>
                </a:ext>
                <a:ext uri="{FF2B5EF4-FFF2-40B4-BE49-F238E27FC236}">
                  <a16:creationId xmlns:a16="http://schemas.microsoft.com/office/drawing/2014/main" id="{00000000-0008-0000-0400-0000D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24</xdr:row>
          <xdr:rowOff>85725</xdr:rowOff>
        </xdr:from>
        <xdr:to>
          <xdr:col>6</xdr:col>
          <xdr:colOff>933450</xdr:colOff>
          <xdr:row>24</xdr:row>
          <xdr:rowOff>304800</xdr:rowOff>
        </xdr:to>
        <xdr:sp macro="" textlink="">
          <xdr:nvSpPr>
            <xdr:cNvPr id="112600" name="Drop Down 3032" hidden="1">
              <a:extLst>
                <a:ext uri="{63B3BB69-23CF-44E3-9099-C40C66FF867C}">
                  <a14:compatExt spid="_x0000_s112600"/>
                </a:ext>
                <a:ext uri="{FF2B5EF4-FFF2-40B4-BE49-F238E27FC236}">
                  <a16:creationId xmlns:a16="http://schemas.microsoft.com/office/drawing/2014/main" id="{00000000-0008-0000-0400-0000D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27</xdr:row>
          <xdr:rowOff>85725</xdr:rowOff>
        </xdr:from>
        <xdr:to>
          <xdr:col>6</xdr:col>
          <xdr:colOff>933450</xdr:colOff>
          <xdr:row>27</xdr:row>
          <xdr:rowOff>304800</xdr:rowOff>
        </xdr:to>
        <xdr:sp macro="" textlink="">
          <xdr:nvSpPr>
            <xdr:cNvPr id="112601" name="Drop Down 3033" hidden="1">
              <a:extLst>
                <a:ext uri="{63B3BB69-23CF-44E3-9099-C40C66FF867C}">
                  <a14:compatExt spid="_x0000_s112601"/>
                </a:ext>
                <a:ext uri="{FF2B5EF4-FFF2-40B4-BE49-F238E27FC236}">
                  <a16:creationId xmlns:a16="http://schemas.microsoft.com/office/drawing/2014/main" id="{00000000-0008-0000-0400-0000D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31</xdr:row>
          <xdr:rowOff>85725</xdr:rowOff>
        </xdr:from>
        <xdr:to>
          <xdr:col>6</xdr:col>
          <xdr:colOff>933450</xdr:colOff>
          <xdr:row>31</xdr:row>
          <xdr:rowOff>304800</xdr:rowOff>
        </xdr:to>
        <xdr:sp macro="" textlink="">
          <xdr:nvSpPr>
            <xdr:cNvPr id="112602" name="Drop Down 3034" hidden="1">
              <a:extLst>
                <a:ext uri="{63B3BB69-23CF-44E3-9099-C40C66FF867C}">
                  <a14:compatExt spid="_x0000_s112602"/>
                </a:ext>
                <a:ext uri="{FF2B5EF4-FFF2-40B4-BE49-F238E27FC236}">
                  <a16:creationId xmlns:a16="http://schemas.microsoft.com/office/drawing/2014/main" id="{00000000-0008-0000-0400-0000D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34</xdr:row>
          <xdr:rowOff>85725</xdr:rowOff>
        </xdr:from>
        <xdr:to>
          <xdr:col>6</xdr:col>
          <xdr:colOff>933450</xdr:colOff>
          <xdr:row>34</xdr:row>
          <xdr:rowOff>304800</xdr:rowOff>
        </xdr:to>
        <xdr:sp macro="" textlink="">
          <xdr:nvSpPr>
            <xdr:cNvPr id="112603" name="Drop Down 3035" hidden="1">
              <a:extLst>
                <a:ext uri="{63B3BB69-23CF-44E3-9099-C40C66FF867C}">
                  <a14:compatExt spid="_x0000_s112603"/>
                </a:ext>
                <a:ext uri="{FF2B5EF4-FFF2-40B4-BE49-F238E27FC236}">
                  <a16:creationId xmlns:a16="http://schemas.microsoft.com/office/drawing/2014/main" id="{00000000-0008-0000-0400-0000D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37</xdr:row>
          <xdr:rowOff>85725</xdr:rowOff>
        </xdr:from>
        <xdr:to>
          <xdr:col>6</xdr:col>
          <xdr:colOff>933450</xdr:colOff>
          <xdr:row>37</xdr:row>
          <xdr:rowOff>304800</xdr:rowOff>
        </xdr:to>
        <xdr:sp macro="" textlink="">
          <xdr:nvSpPr>
            <xdr:cNvPr id="112604" name="Drop Down 3036" hidden="1">
              <a:extLst>
                <a:ext uri="{63B3BB69-23CF-44E3-9099-C40C66FF867C}">
                  <a14:compatExt spid="_x0000_s112604"/>
                </a:ext>
                <a:ext uri="{FF2B5EF4-FFF2-40B4-BE49-F238E27FC236}">
                  <a16:creationId xmlns:a16="http://schemas.microsoft.com/office/drawing/2014/main" id="{00000000-0008-0000-0400-0000D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40</xdr:row>
          <xdr:rowOff>85725</xdr:rowOff>
        </xdr:from>
        <xdr:to>
          <xdr:col>6</xdr:col>
          <xdr:colOff>933450</xdr:colOff>
          <xdr:row>40</xdr:row>
          <xdr:rowOff>304800</xdr:rowOff>
        </xdr:to>
        <xdr:sp macro="" textlink="">
          <xdr:nvSpPr>
            <xdr:cNvPr id="112605" name="Drop Down 3037" hidden="1">
              <a:extLst>
                <a:ext uri="{63B3BB69-23CF-44E3-9099-C40C66FF867C}">
                  <a14:compatExt spid="_x0000_s112605"/>
                </a:ext>
                <a:ext uri="{FF2B5EF4-FFF2-40B4-BE49-F238E27FC236}">
                  <a16:creationId xmlns:a16="http://schemas.microsoft.com/office/drawing/2014/main" id="{00000000-0008-0000-0400-0000D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44</xdr:row>
          <xdr:rowOff>85725</xdr:rowOff>
        </xdr:from>
        <xdr:to>
          <xdr:col>6</xdr:col>
          <xdr:colOff>933450</xdr:colOff>
          <xdr:row>44</xdr:row>
          <xdr:rowOff>304800</xdr:rowOff>
        </xdr:to>
        <xdr:sp macro="" textlink="">
          <xdr:nvSpPr>
            <xdr:cNvPr id="112606" name="Drop Down 3038" hidden="1">
              <a:extLst>
                <a:ext uri="{63B3BB69-23CF-44E3-9099-C40C66FF867C}">
                  <a14:compatExt spid="_x0000_s112606"/>
                </a:ext>
                <a:ext uri="{FF2B5EF4-FFF2-40B4-BE49-F238E27FC236}">
                  <a16:creationId xmlns:a16="http://schemas.microsoft.com/office/drawing/2014/main" id="{00000000-0008-0000-0400-0000D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47</xdr:row>
          <xdr:rowOff>85725</xdr:rowOff>
        </xdr:from>
        <xdr:to>
          <xdr:col>6</xdr:col>
          <xdr:colOff>933450</xdr:colOff>
          <xdr:row>47</xdr:row>
          <xdr:rowOff>304800</xdr:rowOff>
        </xdr:to>
        <xdr:sp macro="" textlink="">
          <xdr:nvSpPr>
            <xdr:cNvPr id="112607" name="Drop Down 3039" hidden="1">
              <a:extLst>
                <a:ext uri="{63B3BB69-23CF-44E3-9099-C40C66FF867C}">
                  <a14:compatExt spid="_x0000_s112607"/>
                </a:ext>
                <a:ext uri="{FF2B5EF4-FFF2-40B4-BE49-F238E27FC236}">
                  <a16:creationId xmlns:a16="http://schemas.microsoft.com/office/drawing/2014/main" id="{00000000-0008-0000-0400-0000D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50</xdr:row>
          <xdr:rowOff>85725</xdr:rowOff>
        </xdr:from>
        <xdr:to>
          <xdr:col>6</xdr:col>
          <xdr:colOff>933450</xdr:colOff>
          <xdr:row>50</xdr:row>
          <xdr:rowOff>304800</xdr:rowOff>
        </xdr:to>
        <xdr:sp macro="" textlink="">
          <xdr:nvSpPr>
            <xdr:cNvPr id="112608" name="Drop Down 3040" hidden="1">
              <a:extLst>
                <a:ext uri="{63B3BB69-23CF-44E3-9099-C40C66FF867C}">
                  <a14:compatExt spid="_x0000_s112608"/>
                </a:ext>
                <a:ext uri="{FF2B5EF4-FFF2-40B4-BE49-F238E27FC236}">
                  <a16:creationId xmlns:a16="http://schemas.microsoft.com/office/drawing/2014/main" id="{00000000-0008-0000-0400-0000E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53</xdr:row>
          <xdr:rowOff>85725</xdr:rowOff>
        </xdr:from>
        <xdr:to>
          <xdr:col>6</xdr:col>
          <xdr:colOff>933450</xdr:colOff>
          <xdr:row>53</xdr:row>
          <xdr:rowOff>304800</xdr:rowOff>
        </xdr:to>
        <xdr:sp macro="" textlink="">
          <xdr:nvSpPr>
            <xdr:cNvPr id="112609" name="Drop Down 3041" hidden="1">
              <a:extLst>
                <a:ext uri="{63B3BB69-23CF-44E3-9099-C40C66FF867C}">
                  <a14:compatExt spid="_x0000_s112609"/>
                </a:ext>
                <a:ext uri="{FF2B5EF4-FFF2-40B4-BE49-F238E27FC236}">
                  <a16:creationId xmlns:a16="http://schemas.microsoft.com/office/drawing/2014/main" id="{00000000-0008-0000-0400-0000E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56</xdr:row>
          <xdr:rowOff>85725</xdr:rowOff>
        </xdr:from>
        <xdr:to>
          <xdr:col>6</xdr:col>
          <xdr:colOff>933450</xdr:colOff>
          <xdr:row>56</xdr:row>
          <xdr:rowOff>304800</xdr:rowOff>
        </xdr:to>
        <xdr:sp macro="" textlink="">
          <xdr:nvSpPr>
            <xdr:cNvPr id="112610" name="Drop Down 3042" hidden="1">
              <a:extLst>
                <a:ext uri="{63B3BB69-23CF-44E3-9099-C40C66FF867C}">
                  <a14:compatExt spid="_x0000_s112610"/>
                </a:ext>
                <a:ext uri="{FF2B5EF4-FFF2-40B4-BE49-F238E27FC236}">
                  <a16:creationId xmlns:a16="http://schemas.microsoft.com/office/drawing/2014/main" id="{00000000-0008-0000-0400-0000E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60</xdr:row>
          <xdr:rowOff>85725</xdr:rowOff>
        </xdr:from>
        <xdr:to>
          <xdr:col>6</xdr:col>
          <xdr:colOff>933450</xdr:colOff>
          <xdr:row>60</xdr:row>
          <xdr:rowOff>304800</xdr:rowOff>
        </xdr:to>
        <xdr:sp macro="" textlink="">
          <xdr:nvSpPr>
            <xdr:cNvPr id="112611" name="Drop Down 3043" hidden="1">
              <a:extLst>
                <a:ext uri="{63B3BB69-23CF-44E3-9099-C40C66FF867C}">
                  <a14:compatExt spid="_x0000_s112611"/>
                </a:ext>
                <a:ext uri="{FF2B5EF4-FFF2-40B4-BE49-F238E27FC236}">
                  <a16:creationId xmlns:a16="http://schemas.microsoft.com/office/drawing/2014/main" id="{00000000-0008-0000-0400-0000E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63</xdr:row>
          <xdr:rowOff>85725</xdr:rowOff>
        </xdr:from>
        <xdr:to>
          <xdr:col>6</xdr:col>
          <xdr:colOff>933450</xdr:colOff>
          <xdr:row>63</xdr:row>
          <xdr:rowOff>304800</xdr:rowOff>
        </xdr:to>
        <xdr:sp macro="" textlink="">
          <xdr:nvSpPr>
            <xdr:cNvPr id="112612" name="Drop Down 3044" hidden="1">
              <a:extLst>
                <a:ext uri="{63B3BB69-23CF-44E3-9099-C40C66FF867C}">
                  <a14:compatExt spid="_x0000_s112612"/>
                </a:ext>
                <a:ext uri="{FF2B5EF4-FFF2-40B4-BE49-F238E27FC236}">
                  <a16:creationId xmlns:a16="http://schemas.microsoft.com/office/drawing/2014/main" id="{00000000-0008-0000-0400-0000E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66</xdr:row>
          <xdr:rowOff>85725</xdr:rowOff>
        </xdr:from>
        <xdr:to>
          <xdr:col>6</xdr:col>
          <xdr:colOff>933450</xdr:colOff>
          <xdr:row>66</xdr:row>
          <xdr:rowOff>304800</xdr:rowOff>
        </xdr:to>
        <xdr:sp macro="" textlink="">
          <xdr:nvSpPr>
            <xdr:cNvPr id="112613" name="Drop Down 3045" hidden="1">
              <a:extLst>
                <a:ext uri="{63B3BB69-23CF-44E3-9099-C40C66FF867C}">
                  <a14:compatExt spid="_x0000_s112613"/>
                </a:ext>
                <a:ext uri="{FF2B5EF4-FFF2-40B4-BE49-F238E27FC236}">
                  <a16:creationId xmlns:a16="http://schemas.microsoft.com/office/drawing/2014/main" id="{00000000-0008-0000-0400-0000E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69</xdr:row>
          <xdr:rowOff>85725</xdr:rowOff>
        </xdr:from>
        <xdr:to>
          <xdr:col>6</xdr:col>
          <xdr:colOff>933450</xdr:colOff>
          <xdr:row>69</xdr:row>
          <xdr:rowOff>304800</xdr:rowOff>
        </xdr:to>
        <xdr:sp macro="" textlink="">
          <xdr:nvSpPr>
            <xdr:cNvPr id="112614" name="Drop Down 3046" hidden="1">
              <a:extLst>
                <a:ext uri="{63B3BB69-23CF-44E3-9099-C40C66FF867C}">
                  <a14:compatExt spid="_x0000_s112614"/>
                </a:ext>
                <a:ext uri="{FF2B5EF4-FFF2-40B4-BE49-F238E27FC236}">
                  <a16:creationId xmlns:a16="http://schemas.microsoft.com/office/drawing/2014/main" id="{00000000-0008-0000-0400-0000E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72</xdr:row>
          <xdr:rowOff>85725</xdr:rowOff>
        </xdr:from>
        <xdr:to>
          <xdr:col>6</xdr:col>
          <xdr:colOff>933450</xdr:colOff>
          <xdr:row>72</xdr:row>
          <xdr:rowOff>304800</xdr:rowOff>
        </xdr:to>
        <xdr:sp macro="" textlink="">
          <xdr:nvSpPr>
            <xdr:cNvPr id="112615" name="Drop Down 3047" hidden="1">
              <a:extLst>
                <a:ext uri="{63B3BB69-23CF-44E3-9099-C40C66FF867C}">
                  <a14:compatExt spid="_x0000_s112615"/>
                </a:ext>
                <a:ext uri="{FF2B5EF4-FFF2-40B4-BE49-F238E27FC236}">
                  <a16:creationId xmlns:a16="http://schemas.microsoft.com/office/drawing/2014/main" id="{00000000-0008-0000-0400-0000E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75</xdr:row>
          <xdr:rowOff>85725</xdr:rowOff>
        </xdr:from>
        <xdr:to>
          <xdr:col>6</xdr:col>
          <xdr:colOff>933450</xdr:colOff>
          <xdr:row>75</xdr:row>
          <xdr:rowOff>304800</xdr:rowOff>
        </xdr:to>
        <xdr:sp macro="" textlink="">
          <xdr:nvSpPr>
            <xdr:cNvPr id="112616" name="Drop Down 3048" hidden="1">
              <a:extLst>
                <a:ext uri="{63B3BB69-23CF-44E3-9099-C40C66FF867C}">
                  <a14:compatExt spid="_x0000_s112616"/>
                </a:ext>
                <a:ext uri="{FF2B5EF4-FFF2-40B4-BE49-F238E27FC236}">
                  <a16:creationId xmlns:a16="http://schemas.microsoft.com/office/drawing/2014/main" id="{00000000-0008-0000-0400-0000E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95248</xdr:rowOff>
    </xdr:from>
    <xdr:to>
      <xdr:col>3</xdr:col>
      <xdr:colOff>1026000</xdr:colOff>
      <xdr:row>0</xdr:row>
      <xdr:rowOff>1214848</xdr:rowOff>
    </xdr:to>
    <xdr:pic>
      <xdr:nvPicPr>
        <xdr:cNvPr id="2" name="Picture 1">
          <a:extLst>
            <a:ext uri="{FF2B5EF4-FFF2-40B4-BE49-F238E27FC236}">
              <a16:creationId xmlns:a16="http://schemas.microsoft.com/office/drawing/2014/main" id="{00000000-0008-0000-05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3" y="95248"/>
          <a:ext cx="1026000" cy="11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140652</xdr:colOff>
      <xdr:row>0</xdr:row>
      <xdr:rowOff>571500</xdr:rowOff>
    </xdr:from>
    <xdr:to>
      <xdr:col>23</xdr:col>
      <xdr:colOff>400685</xdr:colOff>
      <xdr:row>20</xdr:row>
      <xdr:rowOff>1747</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400050</xdr:colOff>
          <xdr:row>8</xdr:row>
          <xdr:rowOff>76200</xdr:rowOff>
        </xdr:from>
        <xdr:to>
          <xdr:col>6</xdr:col>
          <xdr:colOff>1638300</xdr:colOff>
          <xdr:row>8</xdr:row>
          <xdr:rowOff>304800</xdr:rowOff>
        </xdr:to>
        <xdr:sp macro="" textlink="">
          <xdr:nvSpPr>
            <xdr:cNvPr id="129046" name="Drop Down 22" hidden="1">
              <a:extLst>
                <a:ext uri="{63B3BB69-23CF-44E3-9099-C40C66FF867C}">
                  <a14:compatExt spid="_x0000_s129046"/>
                </a:ext>
                <a:ext uri="{FF2B5EF4-FFF2-40B4-BE49-F238E27FC236}">
                  <a16:creationId xmlns:a16="http://schemas.microsoft.com/office/drawing/2014/main" id="{00000000-0008-0000-0600-000016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xdr:row>
          <xdr:rowOff>76200</xdr:rowOff>
        </xdr:from>
        <xdr:to>
          <xdr:col>6</xdr:col>
          <xdr:colOff>1638300</xdr:colOff>
          <xdr:row>11</xdr:row>
          <xdr:rowOff>304800</xdr:rowOff>
        </xdr:to>
        <xdr:sp macro="" textlink="">
          <xdr:nvSpPr>
            <xdr:cNvPr id="129090" name="Drop Down 66" hidden="1">
              <a:extLst>
                <a:ext uri="{63B3BB69-23CF-44E3-9099-C40C66FF867C}">
                  <a14:compatExt spid="_x0000_s129090"/>
                </a:ext>
                <a:ext uri="{FF2B5EF4-FFF2-40B4-BE49-F238E27FC236}">
                  <a16:creationId xmlns:a16="http://schemas.microsoft.com/office/drawing/2014/main" id="{00000000-0008-0000-0600-000042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76200</xdr:rowOff>
        </xdr:from>
        <xdr:to>
          <xdr:col>6</xdr:col>
          <xdr:colOff>1638300</xdr:colOff>
          <xdr:row>14</xdr:row>
          <xdr:rowOff>304800</xdr:rowOff>
        </xdr:to>
        <xdr:sp macro="" textlink="">
          <xdr:nvSpPr>
            <xdr:cNvPr id="129091" name="Drop Down 67" hidden="1">
              <a:extLst>
                <a:ext uri="{63B3BB69-23CF-44E3-9099-C40C66FF867C}">
                  <a14:compatExt spid="_x0000_s129091"/>
                </a:ext>
                <a:ext uri="{FF2B5EF4-FFF2-40B4-BE49-F238E27FC236}">
                  <a16:creationId xmlns:a16="http://schemas.microsoft.com/office/drawing/2014/main" id="{00000000-0008-0000-0600-000043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17</xdr:row>
          <xdr:rowOff>76200</xdr:rowOff>
        </xdr:from>
        <xdr:to>
          <xdr:col>6</xdr:col>
          <xdr:colOff>1638300</xdr:colOff>
          <xdr:row>17</xdr:row>
          <xdr:rowOff>304800</xdr:rowOff>
        </xdr:to>
        <xdr:sp macro="" textlink="">
          <xdr:nvSpPr>
            <xdr:cNvPr id="129092" name="Drop Down 68" hidden="1">
              <a:extLst>
                <a:ext uri="{63B3BB69-23CF-44E3-9099-C40C66FF867C}">
                  <a14:compatExt spid="_x0000_s129092"/>
                </a:ext>
                <a:ext uri="{FF2B5EF4-FFF2-40B4-BE49-F238E27FC236}">
                  <a16:creationId xmlns:a16="http://schemas.microsoft.com/office/drawing/2014/main" id="{00000000-0008-0000-0600-000044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76200</xdr:rowOff>
        </xdr:from>
        <xdr:to>
          <xdr:col>6</xdr:col>
          <xdr:colOff>1638300</xdr:colOff>
          <xdr:row>20</xdr:row>
          <xdr:rowOff>304800</xdr:rowOff>
        </xdr:to>
        <xdr:sp macro="" textlink="">
          <xdr:nvSpPr>
            <xdr:cNvPr id="129093" name="Drop Down 69" hidden="1">
              <a:extLst>
                <a:ext uri="{63B3BB69-23CF-44E3-9099-C40C66FF867C}">
                  <a14:compatExt spid="_x0000_s129093"/>
                </a:ext>
                <a:ext uri="{FF2B5EF4-FFF2-40B4-BE49-F238E27FC236}">
                  <a16:creationId xmlns:a16="http://schemas.microsoft.com/office/drawing/2014/main" id="{00000000-0008-0000-0600-000045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23</xdr:row>
          <xdr:rowOff>76200</xdr:rowOff>
        </xdr:from>
        <xdr:to>
          <xdr:col>6</xdr:col>
          <xdr:colOff>1638300</xdr:colOff>
          <xdr:row>23</xdr:row>
          <xdr:rowOff>304800</xdr:rowOff>
        </xdr:to>
        <xdr:sp macro="" textlink="">
          <xdr:nvSpPr>
            <xdr:cNvPr id="129094" name="Drop Down 70" hidden="1">
              <a:extLst>
                <a:ext uri="{63B3BB69-23CF-44E3-9099-C40C66FF867C}">
                  <a14:compatExt spid="_x0000_s129094"/>
                </a:ext>
                <a:ext uri="{FF2B5EF4-FFF2-40B4-BE49-F238E27FC236}">
                  <a16:creationId xmlns:a16="http://schemas.microsoft.com/office/drawing/2014/main" id="{00000000-0008-0000-0600-000046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76200</xdr:rowOff>
        </xdr:from>
        <xdr:to>
          <xdr:col>6</xdr:col>
          <xdr:colOff>1638300</xdr:colOff>
          <xdr:row>26</xdr:row>
          <xdr:rowOff>304800</xdr:rowOff>
        </xdr:to>
        <xdr:sp macro="" textlink="">
          <xdr:nvSpPr>
            <xdr:cNvPr id="129095" name="Drop Down 71" hidden="1">
              <a:extLst>
                <a:ext uri="{63B3BB69-23CF-44E3-9099-C40C66FF867C}">
                  <a14:compatExt spid="_x0000_s129095"/>
                </a:ext>
                <a:ext uri="{FF2B5EF4-FFF2-40B4-BE49-F238E27FC236}">
                  <a16:creationId xmlns:a16="http://schemas.microsoft.com/office/drawing/2014/main" id="{00000000-0008-0000-0600-000047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400050</xdr:colOff>
          <xdr:row>8</xdr:row>
          <xdr:rowOff>76200</xdr:rowOff>
        </xdr:from>
        <xdr:to>
          <xdr:col>6</xdr:col>
          <xdr:colOff>1638300</xdr:colOff>
          <xdr:row>8</xdr:row>
          <xdr:rowOff>304800</xdr:rowOff>
        </xdr:to>
        <xdr:sp macro="" textlink="">
          <xdr:nvSpPr>
            <xdr:cNvPr id="176129" name="Drop Down 1" hidden="1">
              <a:extLst>
                <a:ext uri="{63B3BB69-23CF-44E3-9099-C40C66FF867C}">
                  <a14:compatExt spid="_x0000_s176129"/>
                </a:ext>
                <a:ext uri="{FF2B5EF4-FFF2-40B4-BE49-F238E27FC236}">
                  <a16:creationId xmlns:a16="http://schemas.microsoft.com/office/drawing/2014/main" id="{00000000-0008-0000-0700-000001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xdr:row>
          <xdr:rowOff>76200</xdr:rowOff>
        </xdr:from>
        <xdr:to>
          <xdr:col>6</xdr:col>
          <xdr:colOff>1638300</xdr:colOff>
          <xdr:row>11</xdr:row>
          <xdr:rowOff>304800</xdr:rowOff>
        </xdr:to>
        <xdr:sp macro="" textlink="">
          <xdr:nvSpPr>
            <xdr:cNvPr id="176136" name="Drop Down 8" hidden="1">
              <a:extLst>
                <a:ext uri="{63B3BB69-23CF-44E3-9099-C40C66FF867C}">
                  <a14:compatExt spid="_x0000_s176136"/>
                </a:ext>
                <a:ext uri="{FF2B5EF4-FFF2-40B4-BE49-F238E27FC236}">
                  <a16:creationId xmlns:a16="http://schemas.microsoft.com/office/drawing/2014/main" id="{00000000-0008-0000-0700-000008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76200</xdr:rowOff>
        </xdr:from>
        <xdr:to>
          <xdr:col>6</xdr:col>
          <xdr:colOff>1638300</xdr:colOff>
          <xdr:row>14</xdr:row>
          <xdr:rowOff>304800</xdr:rowOff>
        </xdr:to>
        <xdr:sp macro="" textlink="">
          <xdr:nvSpPr>
            <xdr:cNvPr id="176137" name="Drop Down 9" hidden="1">
              <a:extLst>
                <a:ext uri="{63B3BB69-23CF-44E3-9099-C40C66FF867C}">
                  <a14:compatExt spid="_x0000_s176137"/>
                </a:ext>
                <a:ext uri="{FF2B5EF4-FFF2-40B4-BE49-F238E27FC236}">
                  <a16:creationId xmlns:a16="http://schemas.microsoft.com/office/drawing/2014/main" id="{00000000-0008-0000-0700-000009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17</xdr:row>
          <xdr:rowOff>76200</xdr:rowOff>
        </xdr:from>
        <xdr:to>
          <xdr:col>6</xdr:col>
          <xdr:colOff>1638300</xdr:colOff>
          <xdr:row>17</xdr:row>
          <xdr:rowOff>304800</xdr:rowOff>
        </xdr:to>
        <xdr:sp macro="" textlink="">
          <xdr:nvSpPr>
            <xdr:cNvPr id="176138" name="Drop Down 10" hidden="1">
              <a:extLst>
                <a:ext uri="{63B3BB69-23CF-44E3-9099-C40C66FF867C}">
                  <a14:compatExt spid="_x0000_s176138"/>
                </a:ext>
                <a:ext uri="{FF2B5EF4-FFF2-40B4-BE49-F238E27FC236}">
                  <a16:creationId xmlns:a16="http://schemas.microsoft.com/office/drawing/2014/main" id="{00000000-0008-0000-0700-00000A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21</xdr:row>
          <xdr:rowOff>76200</xdr:rowOff>
        </xdr:from>
        <xdr:to>
          <xdr:col>6</xdr:col>
          <xdr:colOff>1638300</xdr:colOff>
          <xdr:row>21</xdr:row>
          <xdr:rowOff>304800</xdr:rowOff>
        </xdr:to>
        <xdr:sp macro="" textlink="">
          <xdr:nvSpPr>
            <xdr:cNvPr id="176139" name="Drop Down 11" hidden="1">
              <a:extLst>
                <a:ext uri="{63B3BB69-23CF-44E3-9099-C40C66FF867C}">
                  <a14:compatExt spid="_x0000_s176139"/>
                </a:ext>
                <a:ext uri="{FF2B5EF4-FFF2-40B4-BE49-F238E27FC236}">
                  <a16:creationId xmlns:a16="http://schemas.microsoft.com/office/drawing/2014/main" id="{00000000-0008-0000-0700-00000B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76200</xdr:rowOff>
        </xdr:from>
        <xdr:to>
          <xdr:col>6</xdr:col>
          <xdr:colOff>1638300</xdr:colOff>
          <xdr:row>24</xdr:row>
          <xdr:rowOff>304800</xdr:rowOff>
        </xdr:to>
        <xdr:sp macro="" textlink="">
          <xdr:nvSpPr>
            <xdr:cNvPr id="176140" name="Drop Down 12" hidden="1">
              <a:extLst>
                <a:ext uri="{63B3BB69-23CF-44E3-9099-C40C66FF867C}">
                  <a14:compatExt spid="_x0000_s176140"/>
                </a:ext>
                <a:ext uri="{FF2B5EF4-FFF2-40B4-BE49-F238E27FC236}">
                  <a16:creationId xmlns:a16="http://schemas.microsoft.com/office/drawing/2014/main" id="{00000000-0008-0000-0700-00000C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76200</xdr:rowOff>
        </xdr:from>
        <xdr:to>
          <xdr:col>6</xdr:col>
          <xdr:colOff>1638300</xdr:colOff>
          <xdr:row>27</xdr:row>
          <xdr:rowOff>304800</xdr:rowOff>
        </xdr:to>
        <xdr:sp macro="" textlink="">
          <xdr:nvSpPr>
            <xdr:cNvPr id="176141" name="Drop Down 13" hidden="1">
              <a:extLst>
                <a:ext uri="{63B3BB69-23CF-44E3-9099-C40C66FF867C}">
                  <a14:compatExt spid="_x0000_s176141"/>
                </a:ext>
                <a:ext uri="{FF2B5EF4-FFF2-40B4-BE49-F238E27FC236}">
                  <a16:creationId xmlns:a16="http://schemas.microsoft.com/office/drawing/2014/main" id="{00000000-0008-0000-0700-00000D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76200</xdr:rowOff>
        </xdr:from>
        <xdr:to>
          <xdr:col>6</xdr:col>
          <xdr:colOff>1638300</xdr:colOff>
          <xdr:row>30</xdr:row>
          <xdr:rowOff>304800</xdr:rowOff>
        </xdr:to>
        <xdr:sp macro="" textlink="">
          <xdr:nvSpPr>
            <xdr:cNvPr id="176142" name="Drop Down 14" hidden="1">
              <a:extLst>
                <a:ext uri="{63B3BB69-23CF-44E3-9099-C40C66FF867C}">
                  <a14:compatExt spid="_x0000_s176142"/>
                </a:ext>
                <a:ext uri="{FF2B5EF4-FFF2-40B4-BE49-F238E27FC236}">
                  <a16:creationId xmlns:a16="http://schemas.microsoft.com/office/drawing/2014/main" id="{00000000-0008-0000-0700-00000E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33</xdr:row>
          <xdr:rowOff>76200</xdr:rowOff>
        </xdr:from>
        <xdr:to>
          <xdr:col>6</xdr:col>
          <xdr:colOff>1638300</xdr:colOff>
          <xdr:row>33</xdr:row>
          <xdr:rowOff>304800</xdr:rowOff>
        </xdr:to>
        <xdr:sp macro="" textlink="">
          <xdr:nvSpPr>
            <xdr:cNvPr id="176143" name="Drop Down 15" hidden="1">
              <a:extLst>
                <a:ext uri="{63B3BB69-23CF-44E3-9099-C40C66FF867C}">
                  <a14:compatExt spid="_x0000_s176143"/>
                </a:ext>
                <a:ext uri="{FF2B5EF4-FFF2-40B4-BE49-F238E27FC236}">
                  <a16:creationId xmlns:a16="http://schemas.microsoft.com/office/drawing/2014/main" id="{00000000-0008-0000-0700-00000FB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400050</xdr:colOff>
          <xdr:row>8</xdr:row>
          <xdr:rowOff>76200</xdr:rowOff>
        </xdr:from>
        <xdr:to>
          <xdr:col>6</xdr:col>
          <xdr:colOff>1638300</xdr:colOff>
          <xdr:row>8</xdr:row>
          <xdr:rowOff>304800</xdr:rowOff>
        </xdr:to>
        <xdr:sp macro="" textlink="">
          <xdr:nvSpPr>
            <xdr:cNvPr id="177153" name="Drop Down 1" hidden="1">
              <a:extLst>
                <a:ext uri="{63B3BB69-23CF-44E3-9099-C40C66FF867C}">
                  <a14:compatExt spid="_x0000_s177153"/>
                </a:ext>
                <a:ext uri="{FF2B5EF4-FFF2-40B4-BE49-F238E27FC236}">
                  <a16:creationId xmlns:a16="http://schemas.microsoft.com/office/drawing/2014/main" id="{00000000-0008-0000-0800-000001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xdr:row>
          <xdr:rowOff>76200</xdr:rowOff>
        </xdr:from>
        <xdr:to>
          <xdr:col>6</xdr:col>
          <xdr:colOff>1638300</xdr:colOff>
          <xdr:row>11</xdr:row>
          <xdr:rowOff>304800</xdr:rowOff>
        </xdr:to>
        <xdr:sp macro="" textlink="">
          <xdr:nvSpPr>
            <xdr:cNvPr id="177162" name="Drop Down 10" hidden="1">
              <a:extLst>
                <a:ext uri="{63B3BB69-23CF-44E3-9099-C40C66FF867C}">
                  <a14:compatExt spid="_x0000_s177162"/>
                </a:ext>
                <a:ext uri="{FF2B5EF4-FFF2-40B4-BE49-F238E27FC236}">
                  <a16:creationId xmlns:a16="http://schemas.microsoft.com/office/drawing/2014/main" id="{00000000-0008-0000-0800-00000A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76200</xdr:rowOff>
        </xdr:from>
        <xdr:to>
          <xdr:col>6</xdr:col>
          <xdr:colOff>1638300</xdr:colOff>
          <xdr:row>14</xdr:row>
          <xdr:rowOff>304800</xdr:rowOff>
        </xdr:to>
        <xdr:sp macro="" textlink="">
          <xdr:nvSpPr>
            <xdr:cNvPr id="177163" name="Drop Down 11" hidden="1">
              <a:extLst>
                <a:ext uri="{63B3BB69-23CF-44E3-9099-C40C66FF867C}">
                  <a14:compatExt spid="_x0000_s177163"/>
                </a:ext>
                <a:ext uri="{FF2B5EF4-FFF2-40B4-BE49-F238E27FC236}">
                  <a16:creationId xmlns:a16="http://schemas.microsoft.com/office/drawing/2014/main" id="{00000000-0008-0000-0800-00000B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17</xdr:row>
          <xdr:rowOff>76200</xdr:rowOff>
        </xdr:from>
        <xdr:to>
          <xdr:col>6</xdr:col>
          <xdr:colOff>1638300</xdr:colOff>
          <xdr:row>17</xdr:row>
          <xdr:rowOff>304800</xdr:rowOff>
        </xdr:to>
        <xdr:sp macro="" textlink="">
          <xdr:nvSpPr>
            <xdr:cNvPr id="177164" name="Drop Down 12" hidden="1">
              <a:extLst>
                <a:ext uri="{63B3BB69-23CF-44E3-9099-C40C66FF867C}">
                  <a14:compatExt spid="_x0000_s177164"/>
                </a:ext>
                <a:ext uri="{FF2B5EF4-FFF2-40B4-BE49-F238E27FC236}">
                  <a16:creationId xmlns:a16="http://schemas.microsoft.com/office/drawing/2014/main" id="{00000000-0008-0000-0800-00000C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76200</xdr:rowOff>
        </xdr:from>
        <xdr:to>
          <xdr:col>6</xdr:col>
          <xdr:colOff>1638300</xdr:colOff>
          <xdr:row>20</xdr:row>
          <xdr:rowOff>304800</xdr:rowOff>
        </xdr:to>
        <xdr:sp macro="" textlink="">
          <xdr:nvSpPr>
            <xdr:cNvPr id="177165" name="Drop Down 13" hidden="1">
              <a:extLst>
                <a:ext uri="{63B3BB69-23CF-44E3-9099-C40C66FF867C}">
                  <a14:compatExt spid="_x0000_s177165"/>
                </a:ext>
                <a:ext uri="{FF2B5EF4-FFF2-40B4-BE49-F238E27FC236}">
                  <a16:creationId xmlns:a16="http://schemas.microsoft.com/office/drawing/2014/main" id="{00000000-0008-0000-0800-00000D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23</xdr:row>
          <xdr:rowOff>76200</xdr:rowOff>
        </xdr:from>
        <xdr:to>
          <xdr:col>6</xdr:col>
          <xdr:colOff>1638300</xdr:colOff>
          <xdr:row>23</xdr:row>
          <xdr:rowOff>304800</xdr:rowOff>
        </xdr:to>
        <xdr:sp macro="" textlink="">
          <xdr:nvSpPr>
            <xdr:cNvPr id="177166" name="Drop Down 14" hidden="1">
              <a:extLst>
                <a:ext uri="{63B3BB69-23CF-44E3-9099-C40C66FF867C}">
                  <a14:compatExt spid="_x0000_s177166"/>
                </a:ext>
                <a:ext uri="{FF2B5EF4-FFF2-40B4-BE49-F238E27FC236}">
                  <a16:creationId xmlns:a16="http://schemas.microsoft.com/office/drawing/2014/main" id="{00000000-0008-0000-0800-00000EB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9.emf"/><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control" Target="../activeX/activeX5.xml"/><Relationship Id="rId2" Type="http://schemas.openxmlformats.org/officeDocument/2006/relationships/drawing" Target="../drawings/drawing4.xml"/><Relationship Id="rId16" Type="http://schemas.openxmlformats.org/officeDocument/2006/relationships/ctrlProp" Target="../ctrlProps/ctrlProp4.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8.emf"/><Relationship Id="rId5" Type="http://schemas.openxmlformats.org/officeDocument/2006/relationships/image" Target="../media/image5.emf"/><Relationship Id="rId15" Type="http://schemas.openxmlformats.org/officeDocument/2006/relationships/image" Target="../media/image10.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7.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5.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5.vml"/><Relationship Id="rId7" Type="http://schemas.openxmlformats.org/officeDocument/2006/relationships/ctrlProp" Target="../ctrlProps/ctrlProp37.xml"/><Relationship Id="rId12" Type="http://schemas.openxmlformats.org/officeDocument/2006/relationships/ctrlProp" Target="../ctrlProps/ctrlProp4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6.vml"/><Relationship Id="rId7" Type="http://schemas.openxmlformats.org/officeDocument/2006/relationships/ctrlProp" Target="../ctrlProps/ctrlProp4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 Id="rId9"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theme="0" tint="-0.499984740745262"/>
    <pageSetUpPr autoPageBreaks="0" fitToPage="1"/>
  </sheetPr>
  <dimension ref="B2:P79"/>
  <sheetViews>
    <sheetView showGridLines="0" showRowColHeaders="0" tabSelected="1" zoomScaleNormal="100" workbookViewId="0">
      <selection activeCell="D2" sqref="D2:L5"/>
    </sheetView>
  </sheetViews>
  <sheetFormatPr defaultColWidth="9.140625" defaultRowHeight="15" x14ac:dyDescent="0.25"/>
  <cols>
    <col min="1" max="14" width="9.140625" style="13"/>
    <col min="15" max="16" width="3.5703125" style="13" customWidth="1"/>
    <col min="17" max="16384" width="9.140625" style="13"/>
  </cols>
  <sheetData>
    <row r="2" spans="2:16" ht="15" customHeight="1" x14ac:dyDescent="0.25">
      <c r="D2" s="298" t="s">
        <v>121</v>
      </c>
      <c r="E2" s="298"/>
      <c r="F2" s="298"/>
      <c r="G2" s="298"/>
      <c r="H2" s="298"/>
      <c r="I2" s="298"/>
      <c r="J2" s="298"/>
      <c r="K2" s="298"/>
      <c r="L2" s="298"/>
      <c r="M2" s="112"/>
      <c r="N2" s="112"/>
      <c r="O2" s="112"/>
      <c r="P2" s="112"/>
    </row>
    <row r="3" spans="2:16" ht="15" customHeight="1" x14ac:dyDescent="0.25">
      <c r="D3" s="298"/>
      <c r="E3" s="298"/>
      <c r="F3" s="298"/>
      <c r="G3" s="298"/>
      <c r="H3" s="298"/>
      <c r="I3" s="298"/>
      <c r="J3" s="298"/>
      <c r="K3" s="298"/>
      <c r="L3" s="298"/>
      <c r="M3" s="112"/>
      <c r="N3" s="112"/>
      <c r="O3" s="112"/>
      <c r="P3" s="112"/>
    </row>
    <row r="4" spans="2:16" ht="15" customHeight="1" x14ac:dyDescent="0.25">
      <c r="D4" s="298"/>
      <c r="E4" s="298"/>
      <c r="F4" s="298"/>
      <c r="G4" s="298"/>
      <c r="H4" s="298"/>
      <c r="I4" s="298"/>
      <c r="J4" s="298"/>
      <c r="K4" s="298"/>
      <c r="L4" s="298"/>
      <c r="M4" s="112"/>
      <c r="N4" s="112"/>
      <c r="O4" s="112"/>
      <c r="P4" s="112"/>
    </row>
    <row r="5" spans="2:16" ht="15" customHeight="1" x14ac:dyDescent="0.25">
      <c r="D5" s="298"/>
      <c r="E5" s="298"/>
      <c r="F5" s="298"/>
      <c r="G5" s="298"/>
      <c r="H5" s="298"/>
      <c r="I5" s="298"/>
      <c r="J5" s="298"/>
      <c r="K5" s="298"/>
      <c r="L5" s="298"/>
      <c r="M5" s="112"/>
      <c r="N5" s="112"/>
      <c r="O5" s="112"/>
      <c r="P5" s="112"/>
    </row>
    <row r="8" spans="2:16" ht="19.5" x14ac:dyDescent="0.3">
      <c r="B8" s="14" t="s">
        <v>3</v>
      </c>
      <c r="C8" s="12"/>
    </row>
    <row r="9" spans="2:16" x14ac:dyDescent="0.25">
      <c r="B9" s="10"/>
    </row>
    <row r="10" spans="2:16" ht="17.25" x14ac:dyDescent="0.3">
      <c r="B10" s="11" t="s">
        <v>75</v>
      </c>
    </row>
    <row r="11" spans="2:16" ht="6.75" customHeight="1" x14ac:dyDescent="0.25"/>
    <row r="12" spans="2:16" ht="14.45" customHeight="1" x14ac:dyDescent="0.25">
      <c r="B12" s="297" t="s">
        <v>197</v>
      </c>
      <c r="C12" s="297"/>
      <c r="D12" s="297"/>
      <c r="E12" s="297"/>
      <c r="F12" s="297"/>
      <c r="G12" s="297"/>
      <c r="H12" s="297"/>
      <c r="I12" s="297"/>
      <c r="J12" s="297"/>
      <c r="K12" s="297"/>
      <c r="L12" s="297"/>
    </row>
    <row r="13" spans="2:16" x14ac:dyDescent="0.25">
      <c r="B13" s="297"/>
      <c r="C13" s="297"/>
      <c r="D13" s="297"/>
      <c r="E13" s="297"/>
      <c r="F13" s="297"/>
      <c r="G13" s="297"/>
      <c r="H13" s="297"/>
      <c r="I13" s="297"/>
      <c r="J13" s="297"/>
      <c r="K13" s="297"/>
      <c r="L13" s="297"/>
    </row>
    <row r="14" spans="2:16" x14ac:dyDescent="0.25">
      <c r="B14" s="297"/>
      <c r="C14" s="297"/>
      <c r="D14" s="297"/>
      <c r="E14" s="297"/>
      <c r="F14" s="297"/>
      <c r="G14" s="297"/>
      <c r="H14" s="297"/>
      <c r="I14" s="297"/>
      <c r="J14" s="297"/>
      <c r="K14" s="297"/>
      <c r="L14" s="297"/>
    </row>
    <row r="15" spans="2:16" x14ac:dyDescent="0.25">
      <c r="B15" s="297"/>
      <c r="C15" s="297"/>
      <c r="D15" s="297"/>
      <c r="E15" s="297"/>
      <c r="F15" s="297"/>
      <c r="G15" s="297"/>
      <c r="H15" s="297"/>
      <c r="I15" s="297"/>
      <c r="J15" s="297"/>
      <c r="K15" s="297"/>
      <c r="L15" s="297"/>
    </row>
    <row r="16" spans="2:16" ht="46.5" customHeight="1" x14ac:dyDescent="0.25">
      <c r="B16" s="297"/>
      <c r="C16" s="297"/>
      <c r="D16" s="297"/>
      <c r="E16" s="297"/>
      <c r="F16" s="297"/>
      <c r="G16" s="297"/>
      <c r="H16" s="297"/>
      <c r="I16" s="297"/>
      <c r="J16" s="297"/>
      <c r="K16" s="297"/>
      <c r="L16" s="297"/>
    </row>
    <row r="18" spans="2:12" ht="15" customHeight="1" x14ac:dyDescent="0.25">
      <c r="B18" s="297" t="s">
        <v>201</v>
      </c>
      <c r="C18" s="297"/>
      <c r="D18" s="297"/>
      <c r="E18" s="297"/>
      <c r="F18" s="297"/>
      <c r="G18" s="297"/>
      <c r="H18" s="297"/>
      <c r="I18" s="297"/>
      <c r="J18" s="297"/>
      <c r="K18" s="297"/>
      <c r="L18" s="297"/>
    </row>
    <row r="19" spans="2:12" x14ac:dyDescent="0.25">
      <c r="B19" s="297"/>
      <c r="C19" s="297"/>
      <c r="D19" s="297"/>
      <c r="E19" s="297"/>
      <c r="F19" s="297"/>
      <c r="G19" s="297"/>
      <c r="H19" s="297"/>
      <c r="I19" s="297"/>
      <c r="J19" s="297"/>
      <c r="K19" s="297"/>
      <c r="L19" s="297"/>
    </row>
    <row r="20" spans="2:12" x14ac:dyDescent="0.25">
      <c r="B20" s="297"/>
      <c r="C20" s="297"/>
      <c r="D20" s="297"/>
      <c r="E20" s="297"/>
      <c r="F20" s="297"/>
      <c r="G20" s="297"/>
      <c r="H20" s="297"/>
      <c r="I20" s="297"/>
      <c r="J20" s="297"/>
      <c r="K20" s="297"/>
      <c r="L20" s="297"/>
    </row>
    <row r="21" spans="2:12" ht="28.5" customHeight="1" x14ac:dyDescent="0.25">
      <c r="B21" s="297"/>
      <c r="C21" s="297"/>
      <c r="D21" s="297"/>
      <c r="E21" s="297"/>
      <c r="F21" s="297"/>
      <c r="G21" s="297"/>
      <c r="H21" s="297"/>
      <c r="I21" s="297"/>
      <c r="J21" s="297"/>
      <c r="K21" s="297"/>
      <c r="L21" s="297"/>
    </row>
    <row r="22" spans="2:12" ht="15" customHeight="1" x14ac:dyDescent="0.25">
      <c r="B22" s="297" t="s">
        <v>207</v>
      </c>
      <c r="C22" s="297"/>
      <c r="D22" s="297"/>
      <c r="E22" s="297"/>
      <c r="F22" s="297"/>
      <c r="G22" s="297"/>
      <c r="H22" s="297"/>
      <c r="I22" s="297"/>
      <c r="J22" s="297"/>
      <c r="K22" s="297"/>
      <c r="L22" s="297"/>
    </row>
    <row r="23" spans="2:12" x14ac:dyDescent="0.25">
      <c r="B23" s="297"/>
      <c r="C23" s="297"/>
      <c r="D23" s="297"/>
      <c r="E23" s="297"/>
      <c r="F23" s="297"/>
      <c r="G23" s="297"/>
      <c r="H23" s="297"/>
      <c r="I23" s="297"/>
      <c r="J23" s="297"/>
      <c r="K23" s="297"/>
      <c r="L23" s="297"/>
    </row>
    <row r="24" spans="2:12" x14ac:dyDescent="0.25">
      <c r="B24" s="297"/>
      <c r="C24" s="297"/>
      <c r="D24" s="297"/>
      <c r="E24" s="297"/>
      <c r="F24" s="297"/>
      <c r="G24" s="297"/>
      <c r="H24" s="297"/>
      <c r="I24" s="297"/>
      <c r="J24" s="297"/>
      <c r="K24" s="297"/>
      <c r="L24" s="297"/>
    </row>
    <row r="25" spans="2:12" ht="7.5" customHeight="1" x14ac:dyDescent="0.25">
      <c r="B25" s="88"/>
      <c r="C25" s="88"/>
      <c r="D25" s="88"/>
      <c r="E25" s="88"/>
      <c r="F25" s="88"/>
      <c r="G25" s="88"/>
      <c r="H25" s="88"/>
      <c r="I25" s="88"/>
      <c r="J25" s="88"/>
      <c r="K25" s="88"/>
      <c r="L25" s="88"/>
    </row>
    <row r="26" spans="2:12" x14ac:dyDescent="0.25">
      <c r="C26" s="167" t="s">
        <v>198</v>
      </c>
      <c r="D26" s="88"/>
      <c r="E26" s="88"/>
      <c r="F26" s="88"/>
      <c r="G26" s="88"/>
      <c r="H26" s="88"/>
      <c r="I26" s="88"/>
      <c r="J26" s="88"/>
      <c r="K26" s="88"/>
      <c r="L26" s="88"/>
    </row>
    <row r="27" spans="2:12" x14ac:dyDescent="0.25">
      <c r="B27" s="88"/>
      <c r="C27" s="167" t="s">
        <v>196</v>
      </c>
      <c r="D27" s="88"/>
      <c r="E27" s="88"/>
      <c r="F27" s="88"/>
      <c r="G27" s="88"/>
      <c r="H27" s="88"/>
      <c r="I27" s="88"/>
      <c r="J27" s="88"/>
      <c r="K27" s="88"/>
      <c r="L27" s="88"/>
    </row>
    <row r="28" spans="2:12" x14ac:dyDescent="0.25">
      <c r="B28" s="88"/>
      <c r="C28" s="88"/>
      <c r="D28" s="88"/>
      <c r="E28" s="88"/>
      <c r="F28" s="88"/>
      <c r="G28" s="88"/>
      <c r="H28" s="88"/>
      <c r="I28" s="88"/>
      <c r="J28" s="88"/>
      <c r="K28" s="88"/>
      <c r="L28" s="88"/>
    </row>
    <row r="29" spans="2:12" ht="15" customHeight="1" x14ac:dyDescent="0.25">
      <c r="B29" s="297" t="s">
        <v>206</v>
      </c>
      <c r="C29" s="297"/>
      <c r="D29" s="297"/>
      <c r="E29" s="297"/>
      <c r="F29" s="297"/>
      <c r="G29" s="297"/>
      <c r="H29" s="297"/>
      <c r="I29" s="297"/>
      <c r="J29" s="297"/>
      <c r="K29" s="297"/>
      <c r="L29" s="297"/>
    </row>
    <row r="30" spans="2:12" x14ac:dyDescent="0.25">
      <c r="B30" s="297"/>
      <c r="C30" s="297"/>
      <c r="D30" s="297"/>
      <c r="E30" s="297"/>
      <c r="F30" s="297"/>
      <c r="G30" s="297"/>
      <c r="H30" s="297"/>
      <c r="I30" s="297"/>
      <c r="J30" s="297"/>
      <c r="K30" s="297"/>
      <c r="L30" s="297"/>
    </row>
    <row r="31" spans="2:12" x14ac:dyDescent="0.25">
      <c r="B31" s="297"/>
      <c r="C31" s="297"/>
      <c r="D31" s="297"/>
      <c r="E31" s="297"/>
      <c r="F31" s="297"/>
      <c r="G31" s="297"/>
      <c r="H31" s="297"/>
      <c r="I31" s="297"/>
      <c r="J31" s="297"/>
      <c r="K31" s="297"/>
      <c r="L31" s="297"/>
    </row>
    <row r="32" spans="2:12" x14ac:dyDescent="0.25">
      <c r="B32" s="297"/>
      <c r="C32" s="297"/>
      <c r="D32" s="297"/>
      <c r="E32" s="297"/>
      <c r="F32" s="297"/>
      <c r="G32" s="297"/>
      <c r="H32" s="297"/>
      <c r="I32" s="297"/>
      <c r="J32" s="297"/>
      <c r="K32" s="297"/>
      <c r="L32" s="297"/>
    </row>
    <row r="33" spans="2:12" ht="18" customHeight="1" x14ac:dyDescent="0.25">
      <c r="B33" s="299" t="s">
        <v>195</v>
      </c>
      <c r="C33" s="299"/>
      <c r="D33" s="299"/>
      <c r="E33" s="299"/>
      <c r="F33" s="299"/>
      <c r="G33" s="299"/>
      <c r="H33" s="299"/>
      <c r="I33" s="299"/>
      <c r="J33" s="299"/>
      <c r="K33" s="299"/>
      <c r="L33" s="299"/>
    </row>
    <row r="34" spans="2:12" ht="9" customHeight="1" x14ac:dyDescent="0.25">
      <c r="B34" s="299"/>
      <c r="C34" s="299"/>
      <c r="D34" s="299"/>
      <c r="E34" s="299"/>
      <c r="F34" s="299"/>
      <c r="G34" s="299"/>
      <c r="H34" s="299"/>
      <c r="I34" s="299"/>
      <c r="J34" s="299"/>
      <c r="K34" s="299"/>
      <c r="L34" s="299"/>
    </row>
    <row r="35" spans="2:12" hidden="1" x14ac:dyDescent="0.25">
      <c r="B35" s="299"/>
      <c r="C35" s="299"/>
      <c r="D35" s="299"/>
      <c r="E35" s="299"/>
      <c r="F35" s="299"/>
      <c r="G35" s="299"/>
      <c r="H35" s="299"/>
      <c r="I35" s="299"/>
      <c r="J35" s="299"/>
      <c r="K35" s="299"/>
      <c r="L35" s="299"/>
    </row>
    <row r="36" spans="2:12" ht="24" customHeight="1" x14ac:dyDescent="0.25">
      <c r="B36" s="232"/>
      <c r="C36" s="167" t="s">
        <v>205</v>
      </c>
      <c r="D36" s="232"/>
      <c r="E36" s="232"/>
      <c r="F36" s="232"/>
      <c r="G36" s="232"/>
      <c r="H36" s="232"/>
      <c r="I36" s="232"/>
      <c r="J36" s="232"/>
      <c r="K36" s="232"/>
      <c r="L36" s="232"/>
    </row>
    <row r="37" spans="2:12" ht="20.25" customHeight="1" x14ac:dyDescent="0.25">
      <c r="C37" s="167" t="s">
        <v>231</v>
      </c>
      <c r="D37" s="232"/>
      <c r="E37" s="232"/>
      <c r="F37" s="232"/>
      <c r="G37" s="232"/>
      <c r="H37" s="232"/>
      <c r="I37" s="232"/>
      <c r="J37" s="232"/>
      <c r="K37" s="232"/>
      <c r="L37" s="232"/>
    </row>
    <row r="38" spans="2:12" ht="17.25" x14ac:dyDescent="0.3">
      <c r="B38" s="11" t="s">
        <v>199</v>
      </c>
    </row>
    <row r="39" spans="2:12" ht="6.75" customHeight="1" x14ac:dyDescent="0.25"/>
    <row r="40" spans="2:12" ht="14.45" customHeight="1" x14ac:dyDescent="0.25">
      <c r="B40" s="297" t="s">
        <v>200</v>
      </c>
      <c r="C40" s="297"/>
      <c r="D40" s="297"/>
      <c r="E40" s="297"/>
      <c r="F40" s="297"/>
      <c r="G40" s="297"/>
      <c r="H40" s="297"/>
      <c r="I40" s="297"/>
      <c r="J40" s="297"/>
      <c r="K40" s="297"/>
      <c r="L40" s="297"/>
    </row>
    <row r="41" spans="2:12" x14ac:dyDescent="0.25">
      <c r="B41" s="297"/>
      <c r="C41" s="297"/>
      <c r="D41" s="297"/>
      <c r="E41" s="297"/>
      <c r="F41" s="297"/>
      <c r="G41" s="297"/>
      <c r="H41" s="297"/>
      <c r="I41" s="297"/>
      <c r="J41" s="297"/>
      <c r="K41" s="297"/>
      <c r="L41" s="297"/>
    </row>
    <row r="42" spans="2:12" ht="52.5" customHeight="1" x14ac:dyDescent="0.25">
      <c r="B42" s="297"/>
      <c r="C42" s="297"/>
      <c r="D42" s="297"/>
      <c r="E42" s="297"/>
      <c r="F42" s="297"/>
      <c r="G42" s="297"/>
      <c r="H42" s="297"/>
      <c r="I42" s="297"/>
      <c r="J42" s="297"/>
      <c r="K42" s="297"/>
      <c r="L42" s="297"/>
    </row>
    <row r="43" spans="2:12" ht="183" customHeight="1" x14ac:dyDescent="0.25"/>
    <row r="58" spans="2:12" ht="248.25" customHeight="1" x14ac:dyDescent="0.25"/>
    <row r="59" spans="2:12" x14ac:dyDescent="0.25">
      <c r="B59" s="13" t="s">
        <v>85</v>
      </c>
    </row>
    <row r="60" spans="2:12" ht="15" customHeight="1" x14ac:dyDescent="0.25"/>
    <row r="61" spans="2:12" ht="24" customHeight="1" x14ac:dyDescent="0.25">
      <c r="B61" s="233" t="s">
        <v>210</v>
      </c>
    </row>
    <row r="62" spans="2:12" ht="17.25" x14ac:dyDescent="0.3">
      <c r="B62" s="11" t="s">
        <v>4</v>
      </c>
    </row>
    <row r="63" spans="2:12" ht="6.75" customHeight="1" x14ac:dyDescent="0.25"/>
    <row r="64" spans="2:12" x14ac:dyDescent="0.25">
      <c r="B64" s="297" t="s">
        <v>86</v>
      </c>
      <c r="C64" s="297"/>
      <c r="D64" s="297"/>
      <c r="E64" s="297"/>
      <c r="F64" s="297"/>
      <c r="G64" s="297"/>
      <c r="H64" s="297"/>
      <c r="I64" s="297"/>
      <c r="J64" s="297"/>
      <c r="K64" s="297"/>
      <c r="L64" s="297"/>
    </row>
    <row r="65" spans="2:12" x14ac:dyDescent="0.25">
      <c r="B65" s="297"/>
      <c r="C65" s="297"/>
      <c r="D65" s="297"/>
      <c r="E65" s="297"/>
      <c r="F65" s="297"/>
      <c r="G65" s="297"/>
      <c r="H65" s="297"/>
      <c r="I65" s="297"/>
      <c r="J65" s="297"/>
      <c r="K65" s="297"/>
      <c r="L65" s="297"/>
    </row>
    <row r="67" spans="2:12" ht="17.25" x14ac:dyDescent="0.3">
      <c r="B67" s="11" t="s">
        <v>5</v>
      </c>
    </row>
    <row r="68" spans="2:12" ht="6.75" customHeight="1" x14ac:dyDescent="0.25"/>
    <row r="69" spans="2:12" ht="15" customHeight="1" x14ac:dyDescent="0.25">
      <c r="B69" s="297" t="s">
        <v>6</v>
      </c>
      <c r="C69" s="297"/>
      <c r="D69" s="297"/>
      <c r="E69" s="297"/>
      <c r="F69" s="297"/>
      <c r="G69" s="297"/>
      <c r="H69" s="297"/>
      <c r="I69" s="297"/>
      <c r="J69" s="297"/>
      <c r="K69" s="297"/>
      <c r="L69" s="297"/>
    </row>
    <row r="70" spans="2:12" x14ac:dyDescent="0.25">
      <c r="B70" s="297"/>
      <c r="C70" s="297"/>
      <c r="D70" s="297"/>
      <c r="E70" s="297"/>
      <c r="F70" s="297"/>
      <c r="G70" s="297"/>
      <c r="H70" s="297"/>
      <c r="I70" s="297"/>
      <c r="J70" s="297"/>
      <c r="K70" s="297"/>
      <c r="L70" s="297"/>
    </row>
    <row r="71" spans="2:12" x14ac:dyDescent="0.25">
      <c r="B71" s="88"/>
      <c r="C71" s="88"/>
      <c r="D71" s="88"/>
      <c r="E71" s="88"/>
      <c r="F71" s="88"/>
      <c r="G71" s="88"/>
      <c r="H71" s="88"/>
      <c r="I71" s="88"/>
      <c r="J71" s="88"/>
      <c r="K71" s="88"/>
      <c r="L71" s="88"/>
    </row>
    <row r="72" spans="2:12" ht="17.25" x14ac:dyDescent="0.3">
      <c r="B72" s="11" t="s">
        <v>82</v>
      </c>
    </row>
    <row r="73" spans="2:12" ht="6.75" customHeight="1" x14ac:dyDescent="0.25">
      <c r="B73" s="297"/>
      <c r="C73" s="297"/>
      <c r="D73" s="297"/>
      <c r="E73" s="297"/>
      <c r="F73" s="297"/>
      <c r="G73" s="297"/>
      <c r="H73" s="297"/>
      <c r="I73" s="297"/>
      <c r="J73" s="297"/>
      <c r="K73" s="297"/>
      <c r="L73" s="297"/>
    </row>
    <row r="74" spans="2:12" x14ac:dyDescent="0.25">
      <c r="B74" s="13" t="s">
        <v>83</v>
      </c>
    </row>
    <row r="77" spans="2:12" x14ac:dyDescent="0.25">
      <c r="B77" s="13" t="s">
        <v>87</v>
      </c>
    </row>
    <row r="78" spans="2:12" x14ac:dyDescent="0.25">
      <c r="B78" s="88"/>
      <c r="C78" s="88"/>
      <c r="D78" s="88"/>
      <c r="E78" s="88"/>
      <c r="F78" s="88"/>
      <c r="G78" s="88"/>
      <c r="H78" s="88"/>
      <c r="I78" s="88"/>
      <c r="J78" s="88"/>
      <c r="K78" s="88"/>
      <c r="L78" s="88"/>
    </row>
    <row r="79" spans="2:12" x14ac:dyDescent="0.25">
      <c r="B79" s="297"/>
      <c r="C79" s="297"/>
      <c r="D79" s="297"/>
      <c r="E79" s="297"/>
      <c r="F79" s="297"/>
      <c r="G79" s="297"/>
      <c r="H79" s="297"/>
      <c r="I79" s="297"/>
      <c r="J79" s="297"/>
      <c r="K79" s="297"/>
      <c r="L79" s="297"/>
    </row>
  </sheetData>
  <sheetProtection algorithmName="SHA-512" hashValue="rAnSYvLAWd+PN97JlJAKpDY2JZJqLj+Rjpgw33Zgt0p9P7dd1C+svoXk4C8edEnoZaJWqcl+BcMHzEwSAsWjsQ==" saltValue="8DIzRjDbOJgqqCDh5q/ajQ==" spinCount="100000" sheet="1" objects="1" scenarios="1"/>
  <mergeCells count="11">
    <mergeCell ref="B79:L79"/>
    <mergeCell ref="D2:L5"/>
    <mergeCell ref="B40:L42"/>
    <mergeCell ref="B64:L65"/>
    <mergeCell ref="B69:L70"/>
    <mergeCell ref="B73:L73"/>
    <mergeCell ref="B33:L35"/>
    <mergeCell ref="B12:L16"/>
    <mergeCell ref="B18:L21"/>
    <mergeCell ref="B22:L24"/>
    <mergeCell ref="B29:L32"/>
  </mergeCells>
  <pageMargins left="0.7" right="0.7" top="0.75" bottom="0.75" header="0.3" footer="0.3"/>
  <pageSetup paperSize="9" scale="69" fitToHeight="0"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00B050"/>
    <pageSetUpPr autoPageBreaks="0" fitToPage="1"/>
  </sheetPr>
  <dimension ref="A2:AQ36"/>
  <sheetViews>
    <sheetView showGridLines="0" showRowColHeaders="0" topLeftCell="D1" zoomScaleNormal="100" workbookViewId="0">
      <pane ySplit="7" topLeftCell="A8" activePane="bottomLeft" state="frozen"/>
      <selection activeCell="D1" sqref="D1"/>
      <selection pane="bottomLeft" sqref="A1:D5041"/>
    </sheetView>
  </sheetViews>
  <sheetFormatPr defaultColWidth="9.140625" defaultRowHeight="15" x14ac:dyDescent="0.25"/>
  <cols>
    <col min="1" max="1" width="9.28515625" style="152" hidden="1" customWidth="1"/>
    <col min="2" max="3" width="8.85546875" style="21" hidden="1" customWidth="1"/>
    <col min="4" max="4" width="6.28515625" style="21" customWidth="1"/>
    <col min="5" max="5" width="15.5703125" style="21" customWidth="1"/>
    <col min="6" max="6" width="67.42578125" style="21" customWidth="1"/>
    <col min="7" max="8" width="27" style="21" customWidth="1"/>
    <col min="9" max="9" width="41.7109375" style="83" customWidth="1"/>
    <col min="10" max="11" width="9.140625" style="21" customWidth="1"/>
    <col min="12" max="18" width="9.140625" style="21" hidden="1" customWidth="1"/>
    <col min="19" max="20" width="9.140625" style="21" customWidth="1"/>
    <col min="21" max="25" width="9.140625" style="21" hidden="1" customWidth="1"/>
    <col min="26" max="35" width="9.140625" style="21" customWidth="1"/>
    <col min="36" max="16384" width="9.140625" style="21"/>
  </cols>
  <sheetData>
    <row r="2" spans="1:43" s="53" customFormat="1" ht="15" customHeight="1" x14ac:dyDescent="0.25">
      <c r="A2" s="152"/>
      <c r="B2" s="21"/>
      <c r="C2" s="21"/>
      <c r="D2" s="21"/>
      <c r="E2" s="21"/>
      <c r="F2" s="314" t="str">
        <f>"Results"&amp;IF(LEN(profile_name_of_organisation)=0,""," for "&amp;profile_name_of_organisation)</f>
        <v>Results</v>
      </c>
      <c r="G2" s="314"/>
      <c r="H2" s="314"/>
      <c r="I2" s="314"/>
      <c r="J2" s="106"/>
      <c r="K2" s="106"/>
      <c r="L2" s="106"/>
      <c r="M2" s="106"/>
      <c r="N2" s="106"/>
      <c r="O2" s="106"/>
      <c r="P2" s="106"/>
      <c r="Q2" s="106"/>
      <c r="R2" s="106"/>
      <c r="S2" s="106"/>
      <c r="T2" s="106"/>
      <c r="U2" s="106"/>
      <c r="V2" s="106"/>
      <c r="W2" s="106"/>
      <c r="X2" s="106"/>
    </row>
    <row r="3" spans="1:43" s="53" customFormat="1" ht="15" customHeight="1" x14ac:dyDescent="0.25">
      <c r="A3" s="152"/>
      <c r="B3" s="21"/>
      <c r="C3" s="21"/>
      <c r="D3" s="21"/>
      <c r="E3" s="21"/>
      <c r="F3" s="314"/>
      <c r="G3" s="314"/>
      <c r="H3" s="314"/>
      <c r="I3" s="314"/>
      <c r="J3" s="106"/>
      <c r="K3" s="106"/>
      <c r="L3" s="106"/>
      <c r="M3" s="106"/>
      <c r="N3" s="106"/>
      <c r="O3" s="106"/>
      <c r="P3" s="106"/>
      <c r="Q3" s="106"/>
      <c r="R3" s="106"/>
      <c r="S3" s="106"/>
      <c r="T3" s="106"/>
      <c r="U3" s="106"/>
      <c r="V3" s="106"/>
      <c r="W3" s="106"/>
      <c r="X3" s="106"/>
    </row>
    <row r="4" spans="1:43" s="53" customFormat="1" ht="15" customHeight="1" x14ac:dyDescent="0.25">
      <c r="A4" s="152"/>
      <c r="B4" s="21"/>
      <c r="C4" s="21"/>
      <c r="D4" s="21"/>
      <c r="E4" s="21"/>
      <c r="F4" s="315" t="str">
        <f ca="1">'Assess A'!F2</f>
        <v>Maturity model for Stage A - Preparation</v>
      </c>
      <c r="G4" s="315"/>
      <c r="H4" s="315"/>
      <c r="I4" s="315"/>
      <c r="J4" s="106"/>
      <c r="K4" s="106"/>
      <c r="L4" s="106"/>
      <c r="M4" s="106"/>
      <c r="N4" s="106"/>
      <c r="O4" s="106"/>
      <c r="P4" s="106"/>
      <c r="Q4" s="106"/>
      <c r="R4" s="106"/>
      <c r="S4" s="106"/>
      <c r="T4" s="106"/>
      <c r="U4" s="106"/>
      <c r="V4" s="106"/>
      <c r="W4" s="106"/>
      <c r="X4" s="106"/>
    </row>
    <row r="5" spans="1:43" s="53" customFormat="1" ht="15" customHeight="1" x14ac:dyDescent="0.25">
      <c r="A5" s="152"/>
      <c r="B5" s="21"/>
      <c r="C5" s="21"/>
      <c r="D5" s="21"/>
      <c r="E5" s="21"/>
      <c r="F5" s="315"/>
      <c r="G5" s="315"/>
      <c r="H5" s="315"/>
      <c r="I5" s="315"/>
      <c r="J5" s="106"/>
      <c r="K5" s="106"/>
      <c r="L5" s="106"/>
      <c r="M5" s="106"/>
      <c r="N5" s="106"/>
      <c r="O5" s="106"/>
      <c r="P5" s="106"/>
      <c r="Q5" s="106"/>
      <c r="R5" s="106"/>
      <c r="S5" s="106"/>
      <c r="T5" s="106"/>
      <c r="U5" s="106"/>
      <c r="V5" s="106"/>
      <c r="W5" s="106"/>
      <c r="X5" s="106"/>
    </row>
    <row r="7" spans="1:43" ht="19.5" x14ac:dyDescent="0.3">
      <c r="A7" s="9" t="s">
        <v>67</v>
      </c>
      <c r="B7" s="65" t="s">
        <v>72</v>
      </c>
      <c r="C7" s="13" t="s">
        <v>71</v>
      </c>
      <c r="F7" s="54"/>
      <c r="G7" s="59" t="s">
        <v>140</v>
      </c>
      <c r="H7" s="60" t="s">
        <v>133</v>
      </c>
      <c r="I7" s="84" t="s">
        <v>48</v>
      </c>
      <c r="AD7" s="230"/>
      <c r="AE7" s="230"/>
      <c r="AF7" s="230"/>
      <c r="AG7" s="231"/>
      <c r="AH7" s="230"/>
      <c r="AI7" s="231"/>
    </row>
    <row r="8" spans="1:43" s="125" customFormat="1" ht="30" customHeight="1" x14ac:dyDescent="0.25">
      <c r="A8" s="134">
        <v>2</v>
      </c>
      <c r="B8" s="117" t="str">
        <f t="shared" ref="B8:B28" si="0">VLOOKUP(A8,contentrefmockup,2,FALSE)</f>
        <v>A.1</v>
      </c>
      <c r="C8" s="118">
        <f t="shared" ref="C8:C28" si="1">VLOOKUP(A8,contentrefmockup,15,FALSE)</f>
        <v>2</v>
      </c>
      <c r="D8" s="214"/>
      <c r="E8" s="142" t="str">
        <f t="shared" ref="E8:E28" si="2">IF(C8=1,"Phase "&amp;B8,IF(C8=2,"Step "&amp;VLOOKUP(A8,contentrefmockup,4,FALSE),B8))</f>
        <v>Step 1</v>
      </c>
      <c r="F8" s="224" t="str">
        <f t="shared" ref="F8:F28" si="3">VLOOKUP(A8,contentrefmockup,7,FALSE)</f>
        <v>Maintain a technical security assurance framework</v>
      </c>
      <c r="G8" s="175" t="str">
        <f ca="1">"Maturity level:  "&amp;O8</f>
        <v>Maturity level:  Level 1</v>
      </c>
      <c r="H8" s="176"/>
      <c r="I8" s="225"/>
      <c r="J8" s="226"/>
      <c r="K8" s="226"/>
      <c r="L8" s="226" t="str">
        <f>TEXT(B8,"0.0")</f>
        <v>A.1</v>
      </c>
      <c r="M8" s="213">
        <f ca="1">SUMIF(Y:Y,L8,G:G)/(SUMIF(Y:Y,L8,X:X))</f>
        <v>0</v>
      </c>
      <c r="N8" s="213" t="str">
        <f ca="1">HLOOKUP(M8*100,level_ref,2,TRUE)</f>
        <v>Level 1</v>
      </c>
      <c r="O8" s="213" t="str">
        <f ca="1">IF(ISERROR(N8),"",N8)</f>
        <v>Level 1</v>
      </c>
      <c r="P8" s="213">
        <f ca="1">HLOOKUP(M8*100,level_ref,3,TRUE)</f>
        <v>1</v>
      </c>
      <c r="Q8" s="213">
        <f ca="1">IF(ISERROR(P8),"",P8)</f>
        <v>1</v>
      </c>
      <c r="R8" s="213">
        <f ca="1">M8*5</f>
        <v>0</v>
      </c>
      <c r="S8" s="213"/>
      <c r="T8" s="213"/>
      <c r="U8" s="213" t="str">
        <f ca="1">IF(AND(C8&gt;4,VLOOKUP(A8,Assess_A_Reference,34,FALSE)&lt;&gt;8),LEFT(B8,3),"")</f>
        <v/>
      </c>
      <c r="V8" s="213">
        <f ca="1">VLOOKUP(A8,Weightings_Assessments,24,FALSE)</f>
        <v>0</v>
      </c>
      <c r="W8" s="213">
        <f ca="1">IF(VLOOKUP(A8,Assess_A_Reference,34,FALSE)=8,0,1)</f>
        <v>1</v>
      </c>
      <c r="X8" s="213">
        <f ca="1">W8*V8*4</f>
        <v>0</v>
      </c>
      <c r="Y8" s="125" t="str">
        <f ca="1">AG8&amp;U8</f>
        <v/>
      </c>
      <c r="Z8" s="215"/>
      <c r="AA8" s="215"/>
      <c r="AB8" s="215"/>
      <c r="AC8" s="215"/>
      <c r="AD8" s="81"/>
      <c r="AE8" s="81"/>
      <c r="AF8" s="81"/>
      <c r="AG8" s="77"/>
      <c r="AH8" s="81"/>
      <c r="AI8" s="77"/>
      <c r="AJ8" s="215"/>
      <c r="AK8" s="215"/>
      <c r="AL8" s="215"/>
      <c r="AM8" s="215"/>
      <c r="AN8" s="215"/>
      <c r="AO8" s="215"/>
      <c r="AP8" s="215"/>
      <c r="AQ8" s="215"/>
    </row>
    <row r="9" spans="1:43" s="125" customFormat="1" ht="45" x14ac:dyDescent="0.25">
      <c r="A9" s="134">
        <v>3</v>
      </c>
      <c r="B9" s="117" t="str">
        <f t="shared" si="0"/>
        <v>A.1.01</v>
      </c>
      <c r="C9" s="118">
        <f t="shared" si="1"/>
        <v>5</v>
      </c>
      <c r="D9" s="87"/>
      <c r="E9" s="119" t="str">
        <f t="shared" si="2"/>
        <v>A.1.01</v>
      </c>
      <c r="F9" s="120" t="str">
        <f t="shared" si="3"/>
        <v>Do you maintain an approved technical security assurance framework, which is focused on protecting your most critical information and systems?</v>
      </c>
      <c r="G9" s="177" t="str">
        <f ca="1">VLOOKUP($A9,Assess_A_Reference,15,FALSE)</f>
        <v/>
      </c>
      <c r="H9" s="177">
        <f ca="1">(VLOOKUP(LEFT($B9,3),targets_lookup,5,FALSE))*VLOOKUP($A9,Weightings_Assessments,23,FALSE)</f>
        <v>2</v>
      </c>
      <c r="I9" s="120" t="str">
        <f ca="1">IF(VLOOKUP(A9,Assess_A_Reference,16,FALSE)=0,"",VLOOKUP(A9,Assess_A_Reference,16,FALSE))</f>
        <v/>
      </c>
      <c r="J9" s="118"/>
      <c r="K9" s="118"/>
      <c r="L9" s="118"/>
      <c r="M9" s="118"/>
      <c r="N9" s="118"/>
      <c r="O9" s="118"/>
      <c r="P9" s="118"/>
      <c r="Q9" s="118"/>
      <c r="R9" s="118"/>
      <c r="S9" s="118"/>
      <c r="T9" s="123"/>
      <c r="U9" s="213" t="str">
        <f ca="1">IF(AND(C9&gt;4,VLOOKUP(A9,Assess_A_Reference,34,FALSE)&lt;&gt;8),LEFT(B9,3),"")</f>
        <v>A.1</v>
      </c>
      <c r="V9" s="213">
        <f ca="1">VLOOKUP(A9,Weightings_Assessments,24,FALSE)</f>
        <v>1</v>
      </c>
      <c r="W9" s="213">
        <f ca="1">IF(VLOOKUP(A9,Assess_A_Reference,34,FALSE)=8,0,1)</f>
        <v>1</v>
      </c>
      <c r="X9" s="213">
        <f ca="1">W9*V9*4</f>
        <v>4</v>
      </c>
      <c r="Y9" s="125" t="str">
        <f ca="1">AG9&amp;U9</f>
        <v>A.1</v>
      </c>
      <c r="Z9" s="74"/>
      <c r="AA9" s="74"/>
      <c r="AB9" s="74"/>
      <c r="AC9" s="74"/>
      <c r="AD9" s="81"/>
      <c r="AE9" s="81"/>
      <c r="AF9" s="81"/>
      <c r="AG9" s="77"/>
      <c r="AH9" s="81"/>
      <c r="AI9" s="77"/>
      <c r="AJ9" s="74"/>
      <c r="AK9" s="74"/>
      <c r="AL9" s="74"/>
      <c r="AM9" s="74"/>
      <c r="AN9" s="74"/>
      <c r="AO9" s="74"/>
      <c r="AP9" s="74"/>
      <c r="AQ9" s="74"/>
    </row>
    <row r="10" spans="1:43" s="125" customFormat="1" ht="120" x14ac:dyDescent="0.25">
      <c r="A10" s="134">
        <v>4</v>
      </c>
      <c r="B10" s="117" t="str">
        <f t="shared" si="0"/>
        <v/>
      </c>
      <c r="C10" s="118">
        <f t="shared" si="1"/>
        <v>3</v>
      </c>
      <c r="D10" s="87"/>
      <c r="E10" s="119" t="str">
        <f t="shared" si="2"/>
        <v/>
      </c>
      <c r="F10" s="138" t="str">
        <f t="shared" si="3"/>
        <v>A technical security assurance framework would typically include multiple environments for testing, a security architecture, an ongoing security monitoring services (e.g. in a SOC), an adequate range of technical security services and a balanced selection of preventative, detective and reactive security controls; supported by sufficient budget, skilled resources, processes, tools and technologies, adequate management support and an IT or Cyber security risk management programme.</v>
      </c>
      <c r="G10" s="177"/>
      <c r="H10" s="177"/>
      <c r="I10" s="120"/>
      <c r="J10" s="118"/>
      <c r="K10" s="118"/>
      <c r="L10" s="118"/>
      <c r="M10" s="118"/>
      <c r="N10" s="118"/>
      <c r="O10" s="118"/>
      <c r="P10" s="118"/>
      <c r="Q10" s="118"/>
      <c r="R10" s="118"/>
      <c r="S10" s="118"/>
      <c r="T10" s="123"/>
      <c r="U10" s="123"/>
      <c r="V10" s="123"/>
      <c r="W10" s="123"/>
      <c r="X10" s="123"/>
      <c r="Z10" s="74"/>
      <c r="AA10" s="74"/>
      <c r="AB10" s="74"/>
      <c r="AC10" s="74"/>
      <c r="AD10" s="81"/>
      <c r="AE10" s="81"/>
      <c r="AF10" s="81"/>
      <c r="AG10" s="77"/>
      <c r="AH10" s="81"/>
      <c r="AI10" s="77"/>
      <c r="AJ10" s="74"/>
      <c r="AK10" s="74"/>
      <c r="AL10" s="74"/>
      <c r="AM10" s="74"/>
      <c r="AN10" s="74"/>
      <c r="AO10" s="74"/>
      <c r="AP10" s="74"/>
      <c r="AQ10" s="74"/>
    </row>
    <row r="11" spans="1:43" s="125" customFormat="1" ht="30" customHeight="1" x14ac:dyDescent="0.25">
      <c r="A11" s="134">
        <v>5</v>
      </c>
      <c r="B11" s="117" t="str">
        <f t="shared" si="0"/>
        <v>A.2</v>
      </c>
      <c r="C11" s="118">
        <f t="shared" si="1"/>
        <v>2</v>
      </c>
      <c r="D11" s="87"/>
      <c r="E11" s="142" t="str">
        <f t="shared" si="2"/>
        <v>Step 2</v>
      </c>
      <c r="F11" s="224" t="str">
        <f t="shared" si="3"/>
        <v>Establish a penetration testing governance structure</v>
      </c>
      <c r="G11" s="175" t="str">
        <f ca="1">"Maturity level:  "&amp;O11</f>
        <v>Maturity level:  Level 1</v>
      </c>
      <c r="H11" s="176"/>
      <c r="I11" s="225"/>
      <c r="J11" s="226"/>
      <c r="K11" s="226"/>
      <c r="L11" s="226" t="str">
        <f>TEXT(B11,"0.0")</f>
        <v>A.2</v>
      </c>
      <c r="M11" s="213">
        <f ca="1">SUMIF(Y:Y,L11,G:G)/(SUMIF(Y:Y,L11,X:X))</f>
        <v>0</v>
      </c>
      <c r="N11" s="213" t="str">
        <f ca="1">HLOOKUP(M11*100,level_ref,2,TRUE)</f>
        <v>Level 1</v>
      </c>
      <c r="O11" s="213" t="str">
        <f ca="1">IF(ISERROR(N11),"",N11)</f>
        <v>Level 1</v>
      </c>
      <c r="P11" s="213">
        <f ca="1">HLOOKUP(M11*100,level_ref,3,TRUE)</f>
        <v>1</v>
      </c>
      <c r="Q11" s="213">
        <f ca="1">IF(ISERROR(P11),"",P11)</f>
        <v>1</v>
      </c>
      <c r="R11" s="213">
        <f ca="1">M11*5</f>
        <v>0</v>
      </c>
      <c r="S11" s="213"/>
      <c r="T11" s="213"/>
      <c r="U11" s="213" t="str">
        <f ca="1">IF(AND(C11&gt;4,VLOOKUP(A11,Assess_A_Reference,34,FALSE)&lt;&gt;8),LEFT(B11,3),"")</f>
        <v/>
      </c>
      <c r="V11" s="213">
        <f ca="1">VLOOKUP(A11,Weightings_Assessments,24,FALSE)</f>
        <v>0</v>
      </c>
      <c r="W11" s="213">
        <f ca="1">IF(VLOOKUP(A11,Assess_A_Reference,34,FALSE)=8,0,1)</f>
        <v>1</v>
      </c>
      <c r="X11" s="213">
        <f ca="1">W11*V11*4</f>
        <v>0</v>
      </c>
      <c r="Y11" s="125" t="str">
        <f ca="1">AG11&amp;U11</f>
        <v/>
      </c>
      <c r="Z11" s="74"/>
      <c r="AA11" s="74"/>
      <c r="AB11" s="74"/>
      <c r="AC11" s="74"/>
      <c r="AD11" s="81"/>
      <c r="AE11" s="81"/>
      <c r="AF11" s="81"/>
      <c r="AG11" s="77"/>
      <c r="AH11" s="81"/>
      <c r="AI11" s="77"/>
      <c r="AJ11" s="74"/>
      <c r="AK11" s="74"/>
      <c r="AL11" s="74"/>
      <c r="AM11" s="74"/>
      <c r="AN11" s="74"/>
      <c r="AO11" s="74"/>
      <c r="AP11" s="74"/>
      <c r="AQ11" s="74"/>
    </row>
    <row r="12" spans="1:43" s="125" customFormat="1" ht="30" x14ac:dyDescent="0.25">
      <c r="A12" s="134">
        <v>6</v>
      </c>
      <c r="B12" s="117" t="str">
        <f t="shared" si="0"/>
        <v>A.2.01</v>
      </c>
      <c r="C12" s="118">
        <f t="shared" si="1"/>
        <v>5</v>
      </c>
      <c r="D12" s="87"/>
      <c r="E12" s="119" t="str">
        <f t="shared" si="2"/>
        <v>A.2.01</v>
      </c>
      <c r="F12" s="120" t="str">
        <f t="shared" si="3"/>
        <v>Have you established a suitable governance structure to oversee and coordinate a regular penetration testing programme?</v>
      </c>
      <c r="G12" s="177" t="str">
        <f ca="1">VLOOKUP($A12,Assess_A_Reference,15,FALSE)</f>
        <v/>
      </c>
      <c r="H12" s="177">
        <f ca="1">(VLOOKUP(LEFT($B12,3),targets_lookup,5,FALSE))*VLOOKUP($A12,Weightings_Assessments,23,FALSE)</f>
        <v>2</v>
      </c>
      <c r="I12" s="120" t="str">
        <f ca="1">IF(VLOOKUP(A12,Assess_A_Reference,16,FALSE)=0,"",VLOOKUP(A12,Assess_A_Reference,16,FALSE))</f>
        <v/>
      </c>
      <c r="J12" s="118"/>
      <c r="K12" s="118"/>
      <c r="L12" s="118"/>
      <c r="M12" s="118"/>
      <c r="N12" s="118"/>
      <c r="O12" s="118"/>
      <c r="P12" s="118"/>
      <c r="Q12" s="118"/>
      <c r="R12" s="118"/>
      <c r="S12" s="118"/>
      <c r="T12" s="123"/>
      <c r="U12" s="213" t="str">
        <f ca="1">IF(AND(C12&gt;4,VLOOKUP(A12,Assess_A_Reference,34,FALSE)&lt;&gt;8),LEFT(B12,3),"")</f>
        <v>A.2</v>
      </c>
      <c r="V12" s="213">
        <f ca="1">VLOOKUP(A12,Weightings_Assessments,24,FALSE)</f>
        <v>1</v>
      </c>
      <c r="W12" s="213">
        <f ca="1">IF(VLOOKUP(A12,Assess_A_Reference,34,FALSE)=8,0,1)</f>
        <v>1</v>
      </c>
      <c r="X12" s="213">
        <f ca="1">W12*V12*4</f>
        <v>4</v>
      </c>
      <c r="Y12" s="125" t="str">
        <f ca="1">AG12&amp;U12</f>
        <v>A.2</v>
      </c>
      <c r="Z12" s="74"/>
      <c r="AA12" s="74"/>
      <c r="AB12" s="74"/>
      <c r="AC12" s="74"/>
      <c r="AD12" s="81"/>
      <c r="AE12" s="81"/>
      <c r="AF12" s="81"/>
      <c r="AG12" s="77"/>
      <c r="AH12" s="81"/>
      <c r="AI12" s="77"/>
      <c r="AJ12" s="74"/>
      <c r="AK12" s="74"/>
      <c r="AL12" s="74"/>
      <c r="AM12" s="74"/>
      <c r="AN12" s="74"/>
      <c r="AO12" s="74"/>
      <c r="AP12" s="74"/>
      <c r="AQ12" s="74"/>
    </row>
    <row r="13" spans="1:43" s="125" customFormat="1" ht="135" x14ac:dyDescent="0.25">
      <c r="A13" s="134">
        <v>7</v>
      </c>
      <c r="B13" s="117" t="str">
        <f t="shared" si="0"/>
        <v/>
      </c>
      <c r="C13" s="118">
        <f t="shared" si="1"/>
        <v>3</v>
      </c>
      <c r="D13" s="87"/>
      <c r="E13" s="119" t="str">
        <f t="shared" si="2"/>
        <v/>
      </c>
      <c r="F13" s="138" t="str">
        <f t="shared" si="3"/>
        <v>An effective governance structure for penetration testing would typically cover all main systems enterprise-wide (while focusing on the most critical), through a penetration testing programme that includes penetration testing processes and methodologies, supplier selection criteria, and a penetration testing assurance management framework; supported by a joint management and technical team to agree the programme and scope of regular penetration testing, an effective change management process and a set of key performance indicators for the results of the penetration tests.</v>
      </c>
      <c r="G13" s="177"/>
      <c r="H13" s="177"/>
      <c r="I13" s="120"/>
      <c r="J13" s="118"/>
      <c r="K13" s="118"/>
      <c r="L13" s="118"/>
      <c r="M13" s="118"/>
      <c r="N13" s="118"/>
      <c r="O13" s="118"/>
      <c r="P13" s="118"/>
      <c r="Q13" s="118"/>
      <c r="R13" s="118"/>
      <c r="S13" s="118"/>
      <c r="T13" s="123"/>
      <c r="U13" s="123"/>
      <c r="V13" s="123"/>
      <c r="W13" s="123"/>
      <c r="X13" s="123"/>
      <c r="Z13" s="74"/>
      <c r="AA13" s="74"/>
      <c r="AB13" s="74"/>
      <c r="AC13" s="74"/>
      <c r="AD13" s="81"/>
      <c r="AE13" s="81"/>
      <c r="AF13" s="81"/>
      <c r="AG13" s="77"/>
      <c r="AH13" s="81"/>
      <c r="AI13" s="77"/>
      <c r="AJ13" s="74"/>
      <c r="AK13" s="74"/>
      <c r="AL13" s="74"/>
      <c r="AM13" s="74"/>
      <c r="AN13" s="74"/>
      <c r="AO13" s="74"/>
      <c r="AP13" s="74"/>
      <c r="AQ13" s="74"/>
    </row>
    <row r="14" spans="1:43" s="125" customFormat="1" ht="30" customHeight="1" x14ac:dyDescent="0.25">
      <c r="A14" s="134">
        <v>8</v>
      </c>
      <c r="B14" s="117" t="str">
        <f t="shared" si="0"/>
        <v>A.3</v>
      </c>
      <c r="C14" s="118">
        <f t="shared" si="1"/>
        <v>2</v>
      </c>
      <c r="D14" s="87"/>
      <c r="E14" s="142" t="str">
        <f t="shared" si="2"/>
        <v>Step 3</v>
      </c>
      <c r="F14" s="224" t="str">
        <f t="shared" si="3"/>
        <v>Evaluate drivers for conducting penetration tests</v>
      </c>
      <c r="G14" s="175" t="str">
        <f ca="1">"Maturity level:  "&amp;O14</f>
        <v>Maturity level:  Level 1</v>
      </c>
      <c r="H14" s="176"/>
      <c r="I14" s="225"/>
      <c r="J14" s="226"/>
      <c r="K14" s="226"/>
      <c r="L14" s="226" t="str">
        <f>TEXT(B14,"0.0")</f>
        <v>A.3</v>
      </c>
      <c r="M14" s="213">
        <f ca="1">SUMIF(Y:Y,L14,G:G)/(SUMIF(Y:Y,L14,X:X))</f>
        <v>0</v>
      </c>
      <c r="N14" s="213" t="str">
        <f ca="1">HLOOKUP(M14*100,level_ref,2,TRUE)</f>
        <v>Level 1</v>
      </c>
      <c r="O14" s="213" t="str">
        <f ca="1">IF(ISERROR(N14),"",N14)</f>
        <v>Level 1</v>
      </c>
      <c r="P14" s="213">
        <f ca="1">HLOOKUP(M14*100,level_ref,3,TRUE)</f>
        <v>1</v>
      </c>
      <c r="Q14" s="213">
        <f ca="1">IF(ISERROR(P14),"",P14)</f>
        <v>1</v>
      </c>
      <c r="R14" s="213">
        <f ca="1">M14*5</f>
        <v>0</v>
      </c>
      <c r="S14" s="213"/>
      <c r="T14" s="213"/>
      <c r="U14" s="213" t="str">
        <f ca="1">IF(AND(C14&gt;4,VLOOKUP(A14,Assess_A_Reference,34,FALSE)&lt;&gt;8),LEFT(B14,3),"")</f>
        <v/>
      </c>
      <c r="V14" s="213">
        <f ca="1">VLOOKUP(A14,Weightings_Assessments,24,FALSE)</f>
        <v>0</v>
      </c>
      <c r="W14" s="213">
        <f ca="1">IF(VLOOKUP(A14,Assess_A_Reference,34,FALSE)=8,0,1)</f>
        <v>1</v>
      </c>
      <c r="X14" s="213">
        <f ca="1">W14*V14*4</f>
        <v>0</v>
      </c>
      <c r="Y14" s="125" t="str">
        <f ca="1">AG14&amp;U14</f>
        <v/>
      </c>
      <c r="Z14" s="74"/>
      <c r="AA14" s="74"/>
      <c r="AB14" s="74"/>
      <c r="AC14" s="74"/>
      <c r="AD14" s="81"/>
      <c r="AE14" s="81"/>
      <c r="AF14" s="81"/>
      <c r="AG14" s="77"/>
      <c r="AH14" s="81"/>
      <c r="AI14" s="77"/>
      <c r="AJ14" s="74"/>
      <c r="AK14" s="74"/>
      <c r="AL14" s="74"/>
      <c r="AM14" s="74"/>
      <c r="AN14" s="74"/>
      <c r="AO14" s="74"/>
      <c r="AP14" s="74"/>
      <c r="AQ14" s="74"/>
    </row>
    <row r="15" spans="1:43" s="125" customFormat="1" ht="60" x14ac:dyDescent="0.25">
      <c r="A15" s="134">
        <v>9</v>
      </c>
      <c r="B15" s="117" t="str">
        <f t="shared" si="0"/>
        <v>A.3.01</v>
      </c>
      <c r="C15" s="118">
        <f t="shared" si="1"/>
        <v>5</v>
      </c>
      <c r="D15" s="87"/>
      <c r="E15" s="119" t="str">
        <f t="shared" si="2"/>
        <v>A.3.01</v>
      </c>
      <c r="F15" s="120" t="str">
        <f t="shared" si="3"/>
        <v>Have you identified drivers for carrying out penetration tests as part of a technical assurance programme, based on an evaluation of relevant criteria, such as the impact of serious incidents, increased threat levels or significant changes to business or IT processes?</v>
      </c>
      <c r="G15" s="177" t="str">
        <f ca="1">VLOOKUP($A15,Assess_A_Reference,15,FALSE)</f>
        <v/>
      </c>
      <c r="H15" s="177">
        <f ca="1">(VLOOKUP(LEFT($B15,3),targets_lookup,5,FALSE))*VLOOKUP($A15,Weightings_Assessments,23,FALSE)</f>
        <v>2</v>
      </c>
      <c r="I15" s="120" t="str">
        <f ca="1">IF(VLOOKUP(A15,Assess_A_Reference,16,FALSE)=0,"",VLOOKUP(A15,Assess_A_Reference,16,FALSE))</f>
        <v/>
      </c>
      <c r="J15" s="118"/>
      <c r="K15" s="118"/>
      <c r="L15" s="118"/>
      <c r="M15" s="118"/>
      <c r="N15" s="118"/>
      <c r="O15" s="118"/>
      <c r="P15" s="118"/>
      <c r="Q15" s="118"/>
      <c r="R15" s="118"/>
      <c r="S15" s="118"/>
      <c r="T15" s="123"/>
      <c r="U15" s="213" t="str">
        <f ca="1">IF(AND(C15&gt;4,VLOOKUP(A15,Assess_A_Reference,34,FALSE)&lt;&gt;8),LEFT(B15,3),"")</f>
        <v>A.3</v>
      </c>
      <c r="V15" s="213">
        <f ca="1">VLOOKUP(A15,Weightings_Assessments,24,FALSE)</f>
        <v>1</v>
      </c>
      <c r="W15" s="213">
        <f ca="1">IF(VLOOKUP(A15,Assess_A_Reference,34,FALSE)=8,0,1)</f>
        <v>1</v>
      </c>
      <c r="X15" s="213">
        <f ca="1">W15*V15*4</f>
        <v>4</v>
      </c>
      <c r="Y15" s="125" t="str">
        <f ca="1">AG15&amp;U15</f>
        <v>A.3</v>
      </c>
      <c r="Z15" s="74"/>
      <c r="AA15" s="74"/>
      <c r="AB15" s="74"/>
      <c r="AC15" s="74"/>
      <c r="AD15" s="81"/>
      <c r="AE15" s="81"/>
      <c r="AF15" s="81"/>
      <c r="AG15" s="77"/>
      <c r="AH15" s="81"/>
      <c r="AI15" s="77"/>
      <c r="AJ15" s="74"/>
      <c r="AK15" s="74"/>
      <c r="AL15" s="74"/>
      <c r="AM15" s="74"/>
      <c r="AN15" s="74"/>
      <c r="AO15" s="74"/>
      <c r="AP15" s="74"/>
      <c r="AQ15" s="74"/>
    </row>
    <row r="16" spans="1:43" s="125" customFormat="1" ht="90" x14ac:dyDescent="0.25">
      <c r="A16" s="134">
        <v>10</v>
      </c>
      <c r="B16" s="117" t="str">
        <f t="shared" si="0"/>
        <v/>
      </c>
      <c r="C16" s="118">
        <f t="shared" si="1"/>
        <v>3</v>
      </c>
      <c r="D16" s="87"/>
      <c r="E16" s="119" t="str">
        <f t="shared" si="2"/>
        <v/>
      </c>
      <c r="F16" s="138" t="str">
        <f t="shared" si="3"/>
        <v>Drivers for carrying out penetration tests should: be placed within a wider context of security assessment and strategy to contextualise the findings and recommendations; focus on ensuring that major system vulnerabilities are identified and addressed; and help to reduce the risk of discovering that the same problems still exist the next time a penetration test is carried out.</v>
      </c>
      <c r="G16" s="177"/>
      <c r="H16" s="177"/>
      <c r="I16" s="120"/>
      <c r="J16" s="118"/>
      <c r="K16" s="118"/>
      <c r="L16" s="118"/>
      <c r="M16" s="118"/>
      <c r="N16" s="118"/>
      <c r="O16" s="118"/>
      <c r="P16" s="118"/>
      <c r="Q16" s="118"/>
      <c r="R16" s="118"/>
      <c r="S16" s="118"/>
      <c r="T16" s="123"/>
      <c r="U16" s="123"/>
      <c r="V16" s="123"/>
      <c r="W16" s="123"/>
      <c r="X16" s="123"/>
      <c r="Z16" s="74"/>
      <c r="AA16" s="74"/>
      <c r="AB16" s="74"/>
      <c r="AC16" s="74"/>
      <c r="AD16" s="81"/>
      <c r="AE16" s="81"/>
      <c r="AF16" s="81"/>
      <c r="AG16" s="77"/>
      <c r="AH16" s="81"/>
      <c r="AI16" s="77"/>
      <c r="AJ16" s="74"/>
      <c r="AK16" s="74"/>
      <c r="AL16" s="74"/>
      <c r="AM16" s="74"/>
      <c r="AN16" s="74"/>
      <c r="AO16" s="74"/>
      <c r="AP16" s="74"/>
      <c r="AQ16" s="74"/>
    </row>
    <row r="17" spans="1:43" s="125" customFormat="1" ht="30" customHeight="1" x14ac:dyDescent="0.25">
      <c r="A17" s="134">
        <v>11</v>
      </c>
      <c r="B17" s="117" t="str">
        <f t="shared" si="0"/>
        <v>A.4</v>
      </c>
      <c r="C17" s="118">
        <f t="shared" si="1"/>
        <v>2</v>
      </c>
      <c r="D17" s="87"/>
      <c r="E17" s="142" t="str">
        <f t="shared" si="2"/>
        <v>Step 4</v>
      </c>
      <c r="F17" s="224" t="str">
        <f t="shared" si="3"/>
        <v>Identify target environments</v>
      </c>
      <c r="G17" s="175" t="str">
        <f ca="1">"Maturity level:  "&amp;O17</f>
        <v>Maturity level:  Level 1</v>
      </c>
      <c r="H17" s="176"/>
      <c r="I17" s="225"/>
      <c r="J17" s="226"/>
      <c r="K17" s="226"/>
      <c r="L17" s="226" t="str">
        <f>TEXT(B17,"0.0")</f>
        <v>A.4</v>
      </c>
      <c r="M17" s="213">
        <f ca="1">SUMIF(Y:Y,L17,G:G)/(SUMIF(Y:Y,L17,X:X))</f>
        <v>0</v>
      </c>
      <c r="N17" s="213" t="str">
        <f ca="1">HLOOKUP(M17*100,level_ref,2,TRUE)</f>
        <v>Level 1</v>
      </c>
      <c r="O17" s="213" t="str">
        <f ca="1">IF(ISERROR(N17),"",N17)</f>
        <v>Level 1</v>
      </c>
      <c r="P17" s="213">
        <f ca="1">HLOOKUP(M17*100,level_ref,3,TRUE)</f>
        <v>1</v>
      </c>
      <c r="Q17" s="213">
        <f ca="1">IF(ISERROR(P17),"",P17)</f>
        <v>1</v>
      </c>
      <c r="R17" s="213">
        <f ca="1">M17*5</f>
        <v>0</v>
      </c>
      <c r="S17" s="213"/>
      <c r="T17" s="213"/>
      <c r="U17" s="213" t="str">
        <f ca="1">IF(AND(C17&gt;4,VLOOKUP(A17,Assess_A_Reference,34,FALSE)&lt;&gt;8),LEFT(B17,3),"")</f>
        <v/>
      </c>
      <c r="V17" s="213">
        <f ca="1">VLOOKUP(A17,Weightings_Assessments,24,FALSE)</f>
        <v>0</v>
      </c>
      <c r="W17" s="213">
        <f ca="1">IF(VLOOKUP(A17,Assess_A_Reference,34,FALSE)=8,0,1)</f>
        <v>1</v>
      </c>
      <c r="X17" s="213">
        <f ca="1">W17*V17*4</f>
        <v>0</v>
      </c>
      <c r="Y17" s="125" t="str">
        <f ca="1">AG17&amp;U17</f>
        <v/>
      </c>
      <c r="Z17" s="74"/>
      <c r="AA17" s="74"/>
      <c r="AB17" s="74"/>
      <c r="AC17" s="74"/>
      <c r="AD17" s="81"/>
      <c r="AE17" s="81"/>
      <c r="AF17" s="81"/>
      <c r="AG17" s="77"/>
      <c r="AH17" s="81"/>
      <c r="AI17" s="77"/>
      <c r="AJ17" s="74"/>
      <c r="AK17" s="74"/>
      <c r="AL17" s="74"/>
      <c r="AM17" s="74"/>
      <c r="AN17" s="74"/>
      <c r="AO17" s="74"/>
      <c r="AP17" s="74"/>
      <c r="AQ17" s="74"/>
    </row>
    <row r="18" spans="1:43" s="125" customFormat="1" ht="45" x14ac:dyDescent="0.25">
      <c r="A18" s="134">
        <v>12</v>
      </c>
      <c r="B18" s="117" t="str">
        <f t="shared" si="0"/>
        <v>A.4.01</v>
      </c>
      <c r="C18" s="118">
        <f t="shared" si="1"/>
        <v>5</v>
      </c>
      <c r="D18" s="87"/>
      <c r="E18" s="119" t="str">
        <f t="shared" si="2"/>
        <v>A.4.01</v>
      </c>
      <c r="F18" s="120" t="str">
        <f t="shared" si="3"/>
        <v>Have you identified target environments that need to be subject to penetration testing, such as critical web applications and important IT infrastructure?</v>
      </c>
      <c r="G18" s="177" t="str">
        <f ca="1">VLOOKUP($A18,Assess_A_Reference,15,FALSE)</f>
        <v/>
      </c>
      <c r="H18" s="177">
        <f ca="1">(VLOOKUP(LEFT($B18,3),targets_lookup,5,FALSE))*VLOOKUP($A18,Weightings_Assessments,23,FALSE)</f>
        <v>2</v>
      </c>
      <c r="I18" s="120" t="str">
        <f ca="1">IF(VLOOKUP(A18,Assess_A_Reference,16,FALSE)=0,"",VLOOKUP(A18,Assess_A_Reference,16,FALSE))</f>
        <v/>
      </c>
      <c r="J18" s="118"/>
      <c r="K18" s="118"/>
      <c r="L18" s="118"/>
      <c r="M18" s="118"/>
      <c r="N18" s="118"/>
      <c r="O18" s="118"/>
      <c r="P18" s="118"/>
      <c r="Q18" s="118"/>
      <c r="R18" s="118"/>
      <c r="S18" s="118"/>
      <c r="T18" s="123"/>
      <c r="U18" s="213" t="str">
        <f ca="1">IF(AND(C18&gt;4,VLOOKUP(A18,Assess_A_Reference,34,FALSE)&lt;&gt;8),LEFT(B18,3),"")</f>
        <v>A.4</v>
      </c>
      <c r="V18" s="213">
        <f ca="1">VLOOKUP(A18,Weightings_Assessments,24,FALSE)</f>
        <v>1</v>
      </c>
      <c r="W18" s="213">
        <f ca="1">IF(VLOOKUP(A18,Assess_A_Reference,34,FALSE)=8,0,1)</f>
        <v>1</v>
      </c>
      <c r="X18" s="213">
        <f ca="1">W18*V18*4</f>
        <v>4</v>
      </c>
      <c r="Y18" s="125" t="str">
        <f ca="1">AG18&amp;U18</f>
        <v>A.4</v>
      </c>
      <c r="Z18" s="74"/>
      <c r="AA18" s="74"/>
      <c r="AB18" s="74"/>
      <c r="AC18" s="74"/>
      <c r="AD18" s="81"/>
      <c r="AE18" s="81"/>
      <c r="AF18" s="81"/>
      <c r="AG18" s="77"/>
      <c r="AH18" s="81"/>
      <c r="AI18" s="77"/>
      <c r="AJ18" s="74"/>
      <c r="AK18" s="74"/>
      <c r="AL18" s="74"/>
      <c r="AM18" s="74"/>
      <c r="AN18" s="74"/>
      <c r="AO18" s="74"/>
      <c r="AP18" s="74"/>
      <c r="AQ18" s="74"/>
    </row>
    <row r="19" spans="1:43" s="125" customFormat="1" ht="75" x14ac:dyDescent="0.25">
      <c r="A19" s="134">
        <v>13</v>
      </c>
      <c r="B19" s="117" t="str">
        <f t="shared" si="0"/>
        <v/>
      </c>
      <c r="C19" s="118">
        <f t="shared" si="1"/>
        <v>3</v>
      </c>
      <c r="D19" s="87"/>
      <c r="E19" s="119" t="str">
        <f t="shared" si="2"/>
        <v/>
      </c>
      <c r="F19" s="138" t="str">
        <f t="shared" si="3"/>
        <v>Identification of target environments that need to be subject to penetration testing should take account of a wide range of factors including compliance requirements, system criticality and significant changes to critical business processes, as well as being built into relevant stages of systems under development.</v>
      </c>
      <c r="G19" s="177"/>
      <c r="H19" s="177"/>
      <c r="I19" s="120"/>
      <c r="J19" s="118"/>
      <c r="K19" s="118"/>
      <c r="L19" s="118"/>
      <c r="M19" s="118"/>
      <c r="N19" s="118"/>
      <c r="O19" s="118"/>
      <c r="P19" s="118"/>
      <c r="Q19" s="118"/>
      <c r="R19" s="118"/>
      <c r="S19" s="118"/>
      <c r="T19" s="123"/>
      <c r="U19" s="123"/>
      <c r="V19" s="123"/>
      <c r="W19" s="123"/>
      <c r="X19" s="123"/>
      <c r="Z19" s="74"/>
      <c r="AA19" s="74"/>
      <c r="AB19" s="74"/>
      <c r="AC19" s="74"/>
      <c r="AD19" s="81"/>
      <c r="AE19" s="81"/>
      <c r="AF19" s="81"/>
      <c r="AG19" s="77"/>
      <c r="AH19" s="81"/>
      <c r="AI19" s="77"/>
      <c r="AJ19" s="74"/>
      <c r="AK19" s="74"/>
      <c r="AL19" s="74"/>
      <c r="AM19" s="74"/>
      <c r="AN19" s="74"/>
      <c r="AO19" s="74"/>
      <c r="AP19" s="74"/>
      <c r="AQ19" s="74"/>
    </row>
    <row r="20" spans="1:43" s="125" customFormat="1" ht="30" customHeight="1" x14ac:dyDescent="0.25">
      <c r="A20" s="134">
        <v>14</v>
      </c>
      <c r="B20" s="117" t="str">
        <f t="shared" si="0"/>
        <v>A.5</v>
      </c>
      <c r="C20" s="118">
        <f t="shared" si="1"/>
        <v>2</v>
      </c>
      <c r="D20" s="87"/>
      <c r="E20" s="142" t="str">
        <f t="shared" si="2"/>
        <v>Step 5</v>
      </c>
      <c r="F20" s="224" t="str">
        <f t="shared" si="3"/>
        <v>Define the purpose of the penetration tests</v>
      </c>
      <c r="G20" s="175" t="str">
        <f ca="1">"Maturity level:  "&amp;O20</f>
        <v>Maturity level:  Level 1</v>
      </c>
      <c r="H20" s="176"/>
      <c r="I20" s="225"/>
      <c r="J20" s="226"/>
      <c r="K20" s="226"/>
      <c r="L20" s="226" t="str">
        <f>TEXT(B20,"0.0")</f>
        <v>A.5</v>
      </c>
      <c r="M20" s="213">
        <f ca="1">SUMIF(Y:Y,L20,G:G)/(SUMIF(Y:Y,L20,X:X))</f>
        <v>0</v>
      </c>
      <c r="N20" s="213" t="str">
        <f ca="1">HLOOKUP(M20*100,level_ref,2,TRUE)</f>
        <v>Level 1</v>
      </c>
      <c r="O20" s="213" t="str">
        <f ca="1">IF(ISERROR(N20),"",N20)</f>
        <v>Level 1</v>
      </c>
      <c r="P20" s="213">
        <f ca="1">HLOOKUP(M20*100,level_ref,3,TRUE)</f>
        <v>1</v>
      </c>
      <c r="Q20" s="213">
        <f ca="1">IF(ISERROR(P20),"",P20)</f>
        <v>1</v>
      </c>
      <c r="R20" s="213">
        <f ca="1">M20*5</f>
        <v>0</v>
      </c>
      <c r="S20" s="213"/>
      <c r="T20" s="213"/>
      <c r="U20" s="213" t="str">
        <f ca="1">IF(AND(C20&gt;4,VLOOKUP(A20,Assess_A_Reference,34,FALSE)&lt;&gt;8),LEFT(B20,3),"")</f>
        <v/>
      </c>
      <c r="V20" s="213">
        <f ca="1">VLOOKUP(A20,Weightings_Assessments,24,FALSE)</f>
        <v>0</v>
      </c>
      <c r="W20" s="213">
        <f ca="1">IF(VLOOKUP(A20,Assess_A_Reference,34,FALSE)=8,0,1)</f>
        <v>1</v>
      </c>
      <c r="X20" s="213">
        <f ca="1">W20*V20*4</f>
        <v>0</v>
      </c>
      <c r="Y20" s="125" t="str">
        <f ca="1">AG20&amp;U20</f>
        <v/>
      </c>
      <c r="Z20" s="74"/>
      <c r="AA20" s="74"/>
      <c r="AB20" s="74"/>
      <c r="AC20" s="74"/>
      <c r="AD20" s="81"/>
      <c r="AE20" s="81"/>
      <c r="AF20" s="81"/>
      <c r="AG20" s="77"/>
      <c r="AH20" s="81"/>
      <c r="AI20" s="77"/>
      <c r="AJ20" s="74"/>
      <c r="AK20" s="74"/>
      <c r="AL20" s="74"/>
      <c r="AM20" s="74"/>
      <c r="AN20" s="74"/>
      <c r="AO20" s="74"/>
      <c r="AP20" s="74"/>
      <c r="AQ20" s="74"/>
    </row>
    <row r="21" spans="1:43" s="125" customFormat="1" ht="30" x14ac:dyDescent="0.25">
      <c r="A21" s="134">
        <v>15</v>
      </c>
      <c r="B21" s="117" t="str">
        <f t="shared" si="0"/>
        <v>A.5.01</v>
      </c>
      <c r="C21" s="118">
        <f t="shared" si="1"/>
        <v>5</v>
      </c>
      <c r="D21" s="87"/>
      <c r="E21" s="119" t="str">
        <f t="shared" si="2"/>
        <v>A.5.01</v>
      </c>
      <c r="F21" s="120" t="str">
        <f t="shared" si="3"/>
        <v>Do you define the purpose of penetration tests, evaluating the potential benefits to your organisation?</v>
      </c>
      <c r="G21" s="177" t="str">
        <f ca="1">VLOOKUP($A21,Assess_A_Reference,15,FALSE)</f>
        <v/>
      </c>
      <c r="H21" s="177">
        <f ca="1">(VLOOKUP(LEFT($B21,3),targets_lookup,5,FALSE))*VLOOKUP($A21,Weightings_Assessments,23,FALSE)</f>
        <v>2</v>
      </c>
      <c r="I21" s="120" t="str">
        <f ca="1">IF(VLOOKUP(A21,Assess_A_Reference,16,FALSE)=0,"",VLOOKUP(A21,Assess_A_Reference,16,FALSE))</f>
        <v/>
      </c>
      <c r="J21" s="118"/>
      <c r="K21" s="118"/>
      <c r="L21" s="118"/>
      <c r="M21" s="118"/>
      <c r="N21" s="118"/>
      <c r="O21" s="118"/>
      <c r="P21" s="118"/>
      <c r="Q21" s="118"/>
      <c r="R21" s="118"/>
      <c r="S21" s="118"/>
      <c r="T21" s="123"/>
      <c r="U21" s="213" t="str">
        <f ca="1">IF(AND(C21&gt;4,VLOOKUP(A21,Assess_A_Reference,34,FALSE)&lt;&gt;8),LEFT(B21,3),"")</f>
        <v>A.5</v>
      </c>
      <c r="V21" s="213">
        <f ca="1">VLOOKUP(A21,Weightings_Assessments,24,FALSE)</f>
        <v>1</v>
      </c>
      <c r="W21" s="213">
        <f ca="1">IF(VLOOKUP(A21,Assess_A_Reference,34,FALSE)=8,0,1)</f>
        <v>1</v>
      </c>
      <c r="X21" s="213">
        <f ca="1">W21*V21*4</f>
        <v>4</v>
      </c>
      <c r="Y21" s="125" t="str">
        <f ca="1">AG21&amp;U21</f>
        <v>A.5</v>
      </c>
      <c r="Z21" s="74"/>
      <c r="AA21" s="74"/>
      <c r="AB21" s="74"/>
      <c r="AC21" s="74"/>
      <c r="AD21" s="81"/>
      <c r="AE21" s="81"/>
      <c r="AF21" s="81"/>
      <c r="AG21" s="77"/>
      <c r="AH21" s="81"/>
      <c r="AI21" s="77"/>
      <c r="AJ21" s="74"/>
      <c r="AK21" s="74"/>
      <c r="AL21" s="74"/>
      <c r="AM21" s="74"/>
      <c r="AN21" s="74"/>
      <c r="AO21" s="74"/>
      <c r="AP21" s="74"/>
      <c r="AQ21" s="74"/>
    </row>
    <row r="22" spans="1:43" s="125" customFormat="1" ht="120" x14ac:dyDescent="0.25">
      <c r="A22" s="134">
        <v>16</v>
      </c>
      <c r="B22" s="117" t="str">
        <f t="shared" si="0"/>
        <v/>
      </c>
      <c r="C22" s="118">
        <f t="shared" si="1"/>
        <v>3</v>
      </c>
      <c r="D22" s="87"/>
      <c r="E22" s="119" t="str">
        <f t="shared" si="2"/>
        <v/>
      </c>
      <c r="F22" s="138" t="str">
        <f t="shared" si="3"/>
        <v>Identifying the purpose of penetration tests should include assessing whether these tests can help your organisation to meet requirements (e.g. identify weaknesses in your security controls; reduce the frequency and impact of security incidents; comply with legal and regulatory requirements); and realise potential benefits (e.g. IT cost reductions; technical and business improvements; greater awareness of security risks and controls) – whilst taking account of any testing limitations or difficulties.</v>
      </c>
      <c r="G22" s="177"/>
      <c r="H22" s="177"/>
      <c r="I22" s="120"/>
      <c r="J22" s="118"/>
      <c r="K22" s="118"/>
      <c r="L22" s="118"/>
      <c r="M22" s="118"/>
      <c r="N22" s="118"/>
      <c r="O22" s="118"/>
      <c r="P22" s="118"/>
      <c r="Q22" s="118"/>
      <c r="R22" s="118"/>
      <c r="S22" s="118"/>
      <c r="T22" s="123"/>
      <c r="U22" s="123"/>
      <c r="V22" s="123"/>
      <c r="W22" s="123"/>
      <c r="X22" s="123"/>
      <c r="Z22" s="74"/>
      <c r="AA22" s="74"/>
      <c r="AB22" s="74"/>
      <c r="AC22" s="74"/>
      <c r="AD22" s="81"/>
      <c r="AE22" s="81"/>
      <c r="AF22" s="81"/>
      <c r="AG22" s="77"/>
      <c r="AH22" s="81"/>
      <c r="AI22" s="77"/>
      <c r="AJ22" s="74"/>
      <c r="AK22" s="74"/>
      <c r="AL22" s="74"/>
      <c r="AM22" s="74"/>
      <c r="AN22" s="74"/>
      <c r="AO22" s="74"/>
      <c r="AP22" s="74"/>
      <c r="AQ22" s="74"/>
    </row>
    <row r="23" spans="1:43" s="125" customFormat="1" ht="30" customHeight="1" x14ac:dyDescent="0.25">
      <c r="A23" s="134">
        <v>17</v>
      </c>
      <c r="B23" s="117" t="str">
        <f t="shared" si="0"/>
        <v>A.6</v>
      </c>
      <c r="C23" s="118">
        <f t="shared" si="1"/>
        <v>2</v>
      </c>
      <c r="D23" s="87"/>
      <c r="E23" s="142" t="str">
        <f t="shared" si="2"/>
        <v>Step 6</v>
      </c>
      <c r="F23" s="224" t="str">
        <f t="shared" si="3"/>
        <v>Produce requirements specifications</v>
      </c>
      <c r="G23" s="175" t="str">
        <f ca="1">"Maturity level:  "&amp;O23</f>
        <v>Maturity level:  Level 1</v>
      </c>
      <c r="H23" s="176"/>
      <c r="I23" s="225"/>
      <c r="J23" s="226"/>
      <c r="K23" s="226"/>
      <c r="L23" s="226" t="str">
        <f>TEXT(B23,"0.0")</f>
        <v>A.6</v>
      </c>
      <c r="M23" s="213">
        <f ca="1">SUMIF(Y:Y,L23,G:G)/(SUMIF(Y:Y,L23,X:X))</f>
        <v>0</v>
      </c>
      <c r="N23" s="213" t="str">
        <f ca="1">HLOOKUP(M23*100,level_ref,2,TRUE)</f>
        <v>Level 1</v>
      </c>
      <c r="O23" s="213" t="str">
        <f ca="1">IF(ISERROR(N23),"",N23)</f>
        <v>Level 1</v>
      </c>
      <c r="P23" s="213">
        <f ca="1">HLOOKUP(M23*100,level_ref,3,TRUE)</f>
        <v>1</v>
      </c>
      <c r="Q23" s="213">
        <f ca="1">IF(ISERROR(P23),"",P23)</f>
        <v>1</v>
      </c>
      <c r="R23" s="213">
        <f ca="1">M23*5</f>
        <v>0</v>
      </c>
      <c r="S23" s="213"/>
      <c r="T23" s="213"/>
      <c r="U23" s="213" t="str">
        <f ca="1">IF(AND(C23&gt;4,VLOOKUP(A23,Assess_A_Reference,34,FALSE)&lt;&gt;8),LEFT(B23,3),"")</f>
        <v/>
      </c>
      <c r="V23" s="213">
        <f ca="1">VLOOKUP(A23,Weightings_Assessments,24,FALSE)</f>
        <v>0</v>
      </c>
      <c r="W23" s="213">
        <f ca="1">IF(VLOOKUP(A23,Assess_A_Reference,34,FALSE)=8,0,1)</f>
        <v>1</v>
      </c>
      <c r="X23" s="213">
        <f ca="1">W23*V23*4</f>
        <v>0</v>
      </c>
      <c r="Y23" s="125" t="str">
        <f ca="1">AG23&amp;U23</f>
        <v/>
      </c>
      <c r="Z23" s="74"/>
      <c r="AA23" s="74"/>
      <c r="AB23" s="74"/>
      <c r="AC23" s="74"/>
      <c r="AD23" s="81"/>
      <c r="AE23" s="81"/>
      <c r="AF23" s="81"/>
      <c r="AG23" s="77"/>
      <c r="AH23" s="81"/>
      <c r="AI23" s="77"/>
      <c r="AJ23" s="74"/>
      <c r="AK23" s="74"/>
      <c r="AL23" s="74"/>
      <c r="AM23" s="74"/>
      <c r="AN23" s="74"/>
      <c r="AO23" s="74"/>
      <c r="AP23" s="74"/>
      <c r="AQ23" s="74"/>
    </row>
    <row r="24" spans="1:43" s="125" customFormat="1" ht="30" x14ac:dyDescent="0.25">
      <c r="A24" s="134">
        <v>18</v>
      </c>
      <c r="B24" s="117" t="str">
        <f t="shared" si="0"/>
        <v>A.6.01</v>
      </c>
      <c r="C24" s="118">
        <f t="shared" si="1"/>
        <v>5</v>
      </c>
      <c r="D24" s="87"/>
      <c r="E24" s="119" t="str">
        <f t="shared" si="2"/>
        <v>A.6.01</v>
      </c>
      <c r="F24" s="120" t="str">
        <f t="shared" si="3"/>
        <v>Do you define formal requirements for penetration testing carried out in your organisation?</v>
      </c>
      <c r="G24" s="177" t="str">
        <f ca="1">VLOOKUP($A24,Assess_A_Reference,15,FALSE)</f>
        <v/>
      </c>
      <c r="H24" s="177">
        <f ca="1">(VLOOKUP(LEFT($B24,3),targets_lookup,5,FALSE))*VLOOKUP($A24,Weightings_Assessments,23,FALSE)</f>
        <v>2</v>
      </c>
      <c r="I24" s="120" t="str">
        <f ca="1">IF(VLOOKUP(A24,Assess_A_Reference,16,FALSE)=0,"",VLOOKUP(A24,Assess_A_Reference,16,FALSE))</f>
        <v/>
      </c>
      <c r="J24" s="118"/>
      <c r="K24" s="118"/>
      <c r="L24" s="118"/>
      <c r="M24" s="118"/>
      <c r="N24" s="118"/>
      <c r="O24" s="118"/>
      <c r="P24" s="118"/>
      <c r="Q24" s="118"/>
      <c r="R24" s="118"/>
      <c r="S24" s="118"/>
      <c r="T24" s="123"/>
      <c r="U24" s="213" t="str">
        <f ca="1">IF(AND(C24&gt;4,VLOOKUP(A24,Assess_A_Reference,34,FALSE)&lt;&gt;8),LEFT(B24,3),"")</f>
        <v>A.6</v>
      </c>
      <c r="V24" s="213">
        <f ca="1">VLOOKUP(A24,Weightings_Assessments,24,FALSE)</f>
        <v>1</v>
      </c>
      <c r="W24" s="213">
        <f ca="1">IF(VLOOKUP(A24,Assess_A_Reference,34,FALSE)=8,0,1)</f>
        <v>1</v>
      </c>
      <c r="X24" s="213">
        <f ca="1">W24*V24*4</f>
        <v>4</v>
      </c>
      <c r="Y24" s="125" t="str">
        <f ca="1">AG24&amp;U24</f>
        <v>A.6</v>
      </c>
      <c r="Z24" s="74"/>
      <c r="AA24" s="74"/>
      <c r="AB24" s="74"/>
      <c r="AC24" s="74"/>
      <c r="AD24" s="81"/>
      <c r="AE24" s="81"/>
      <c r="AF24" s="81"/>
      <c r="AG24" s="77"/>
      <c r="AH24" s="81"/>
      <c r="AI24" s="77"/>
      <c r="AJ24" s="74"/>
      <c r="AK24" s="74"/>
      <c r="AL24" s="74"/>
      <c r="AM24" s="74"/>
      <c r="AN24" s="74"/>
      <c r="AO24" s="74"/>
      <c r="AP24" s="74"/>
      <c r="AQ24" s="74"/>
    </row>
    <row r="25" spans="1:43" s="125" customFormat="1" ht="75" x14ac:dyDescent="0.25">
      <c r="A25" s="134">
        <v>19</v>
      </c>
      <c r="B25" s="117" t="str">
        <f t="shared" si="0"/>
        <v/>
      </c>
      <c r="C25" s="118">
        <f t="shared" si="1"/>
        <v>3</v>
      </c>
      <c r="D25" s="87"/>
      <c r="E25" s="119" t="str">
        <f t="shared" si="2"/>
        <v/>
      </c>
      <c r="F25" s="138" t="str">
        <f t="shared" si="3"/>
        <v>Requirements for penetration testing should include consideration of important business applications, key IT infrastructure and confidential data; validation that tests are legal and will not compromise confidential data; and the need for tests to be recorded, reviewed and signed-off.</v>
      </c>
      <c r="G25" s="177"/>
      <c r="H25" s="177"/>
      <c r="I25" s="120"/>
      <c r="J25" s="118"/>
      <c r="K25" s="118"/>
      <c r="L25" s="118"/>
      <c r="M25" s="118"/>
      <c r="N25" s="118"/>
      <c r="O25" s="118"/>
      <c r="P25" s="118"/>
      <c r="Q25" s="118"/>
      <c r="R25" s="118"/>
      <c r="S25" s="118"/>
      <c r="T25" s="123"/>
      <c r="U25" s="123"/>
      <c r="V25" s="123"/>
      <c r="W25" s="123"/>
      <c r="X25" s="123"/>
      <c r="Z25" s="74"/>
      <c r="AA25" s="74"/>
      <c r="AB25" s="74"/>
      <c r="AC25" s="74"/>
      <c r="AD25" s="81"/>
      <c r="AE25" s="81"/>
      <c r="AF25" s="81"/>
      <c r="AG25" s="77"/>
      <c r="AH25" s="81"/>
      <c r="AI25" s="77"/>
      <c r="AJ25" s="74"/>
      <c r="AK25" s="74"/>
      <c r="AL25" s="74"/>
      <c r="AM25" s="74"/>
      <c r="AN25" s="74"/>
      <c r="AO25" s="74"/>
      <c r="AP25" s="74"/>
      <c r="AQ25" s="74"/>
    </row>
    <row r="26" spans="1:43" s="125" customFormat="1" ht="30" customHeight="1" x14ac:dyDescent="0.25">
      <c r="A26" s="134">
        <v>20</v>
      </c>
      <c r="B26" s="117" t="str">
        <f t="shared" si="0"/>
        <v>A.7</v>
      </c>
      <c r="C26" s="118">
        <f t="shared" si="1"/>
        <v>2</v>
      </c>
      <c r="D26" s="87"/>
      <c r="E26" s="142" t="str">
        <f t="shared" si="2"/>
        <v>Step 7</v>
      </c>
      <c r="F26" s="224" t="str">
        <f t="shared" si="3"/>
        <v>Select suitable suppliers</v>
      </c>
      <c r="G26" s="175" t="str">
        <f ca="1">"Maturity level:  "&amp;O26</f>
        <v>Maturity level:  Level 1</v>
      </c>
      <c r="H26" s="176"/>
      <c r="I26" s="225"/>
      <c r="J26" s="226"/>
      <c r="K26" s="226"/>
      <c r="L26" s="226" t="str">
        <f>TEXT(B26,"0.0")</f>
        <v>A.7</v>
      </c>
      <c r="M26" s="213">
        <f ca="1">SUMIF(Y:Y,L26,G:G)/(SUMIF(Y:Y,L26,X:X))</f>
        <v>0</v>
      </c>
      <c r="N26" s="213" t="str">
        <f ca="1">HLOOKUP(M26*100,level_ref,2,TRUE)</f>
        <v>Level 1</v>
      </c>
      <c r="O26" s="213" t="str">
        <f ca="1">IF(ISERROR(N26),"",N26)</f>
        <v>Level 1</v>
      </c>
      <c r="P26" s="213">
        <f ca="1">HLOOKUP(M26*100,level_ref,3,TRUE)</f>
        <v>1</v>
      </c>
      <c r="Q26" s="213">
        <f ca="1">IF(ISERROR(P26),"",P26)</f>
        <v>1</v>
      </c>
      <c r="R26" s="213">
        <f ca="1">M26*5</f>
        <v>0</v>
      </c>
      <c r="S26" s="213"/>
      <c r="T26" s="213"/>
      <c r="U26" s="213" t="str">
        <f ca="1">IF(AND(C26&gt;4,VLOOKUP(A26,Assess_A_Reference,34,FALSE)&lt;&gt;8),LEFT(B26,3),"")</f>
        <v/>
      </c>
      <c r="V26" s="213">
        <f ca="1">VLOOKUP(A26,Weightings_Assessments,24,FALSE)</f>
        <v>0</v>
      </c>
      <c r="W26" s="213">
        <f ca="1">IF(VLOOKUP(A26,Assess_A_Reference,34,FALSE)=8,0,1)</f>
        <v>1</v>
      </c>
      <c r="X26" s="213">
        <f ca="1">W26*V26*4</f>
        <v>0</v>
      </c>
      <c r="Y26" s="125" t="str">
        <f ca="1">AG26&amp;U26</f>
        <v/>
      </c>
      <c r="Z26" s="74"/>
      <c r="AA26" s="74"/>
      <c r="AB26" s="74"/>
      <c r="AC26" s="74"/>
      <c r="AD26" s="81"/>
      <c r="AE26" s="81"/>
      <c r="AF26" s="81"/>
      <c r="AG26" s="77"/>
      <c r="AH26" s="81"/>
      <c r="AI26" s="77"/>
      <c r="AJ26" s="74"/>
      <c r="AK26" s="74"/>
      <c r="AL26" s="74"/>
      <c r="AM26" s="74"/>
      <c r="AN26" s="74"/>
      <c r="AO26" s="74"/>
      <c r="AP26" s="74"/>
      <c r="AQ26" s="74"/>
    </row>
    <row r="27" spans="1:43" s="125" customFormat="1" ht="60" x14ac:dyDescent="0.25">
      <c r="A27" s="134">
        <v>21</v>
      </c>
      <c r="B27" s="117" t="str">
        <f t="shared" si="0"/>
        <v>A.7.01</v>
      </c>
      <c r="C27" s="118">
        <f t="shared" si="1"/>
        <v>5</v>
      </c>
      <c r="D27" s="87"/>
      <c r="E27" s="119" t="str">
        <f t="shared" si="2"/>
        <v>A.7.01</v>
      </c>
      <c r="F27" s="120" t="str">
        <f t="shared" si="3"/>
        <v>Do you appoint suitable third party suppliers to undertake independent penetration testing (based on defined requirements, benefit evaluation, specified supplier selection criteria and validation of the supplier’s ability to meet your specific requirements)?</v>
      </c>
      <c r="G27" s="177" t="str">
        <f ca="1">VLOOKUP($A27,Assess_A_Reference,15,FALSE)</f>
        <v/>
      </c>
      <c r="H27" s="177">
        <f ca="1">(VLOOKUP(LEFT($B27,3),targets_lookup,5,FALSE))*VLOOKUP($A27,Weightings_Assessments,23,FALSE)</f>
        <v>2</v>
      </c>
      <c r="I27" s="120" t="str">
        <f ca="1">IF(VLOOKUP(A27,Assess_A_Reference,16,FALSE)=0,"",VLOOKUP(A27,Assess_A_Reference,16,FALSE))</f>
        <v/>
      </c>
      <c r="J27" s="118"/>
      <c r="K27" s="118"/>
      <c r="L27" s="118"/>
      <c r="M27" s="118"/>
      <c r="N27" s="118"/>
      <c r="O27" s="118"/>
      <c r="P27" s="118"/>
      <c r="Q27" s="118"/>
      <c r="R27" s="118"/>
      <c r="S27" s="118"/>
      <c r="T27" s="123"/>
      <c r="U27" s="213" t="str">
        <f ca="1">IF(AND(C27&gt;4,VLOOKUP(A27,Assess_A_Reference,34,FALSE)&lt;&gt;8),LEFT(B27,3),"")</f>
        <v>A.7</v>
      </c>
      <c r="V27" s="213">
        <f ca="1">VLOOKUP(A27,Weightings_Assessments,24,FALSE)</f>
        <v>1</v>
      </c>
      <c r="W27" s="213">
        <f ca="1">IF(VLOOKUP(A27,Assess_A_Reference,34,FALSE)=8,0,1)</f>
        <v>1</v>
      </c>
      <c r="X27" s="213">
        <f ca="1">W27*V27*4</f>
        <v>4</v>
      </c>
      <c r="Y27" s="125" t="str">
        <f ca="1">AG27&amp;U27</f>
        <v>A.7</v>
      </c>
      <c r="Z27" s="74"/>
      <c r="AA27" s="74"/>
      <c r="AB27" s="74"/>
      <c r="AC27" s="74"/>
      <c r="AD27" s="81"/>
      <c r="AE27" s="81"/>
      <c r="AF27" s="81"/>
      <c r="AG27" s="77"/>
      <c r="AH27" s="81"/>
      <c r="AI27" s="77"/>
      <c r="AJ27" s="74"/>
      <c r="AK27" s="74"/>
      <c r="AL27" s="74"/>
      <c r="AM27" s="74"/>
      <c r="AN27" s="74"/>
      <c r="AO27" s="74"/>
      <c r="AP27" s="74"/>
      <c r="AQ27" s="74"/>
    </row>
    <row r="28" spans="1:43" s="125" customFormat="1" ht="105" x14ac:dyDescent="0.25">
      <c r="A28" s="134">
        <v>22</v>
      </c>
      <c r="B28" s="117" t="str">
        <f t="shared" si="0"/>
        <v/>
      </c>
      <c r="C28" s="118">
        <f t="shared" si="1"/>
        <v>3</v>
      </c>
      <c r="D28" s="87"/>
      <c r="E28" s="119" t="str">
        <f t="shared" si="2"/>
        <v/>
      </c>
      <c r="F28" s="138" t="str">
        <f t="shared" si="3"/>
        <v>Effective supplier selection criteria should be used to determine if potential suppliers can satisfactorily meet your specific testing requirements, based on their ability to provide: solid reputation, history and ethics; high quality, value-for-money services; research and development capability; highly competent, technical testers; and security and risk management, supported by a strong professional accreditation and complaint process.</v>
      </c>
      <c r="G28" s="177"/>
      <c r="H28" s="177"/>
      <c r="I28" s="120"/>
      <c r="J28" s="118"/>
      <c r="K28" s="118"/>
      <c r="L28" s="118"/>
      <c r="M28" s="118"/>
      <c r="N28" s="118"/>
      <c r="O28" s="118"/>
      <c r="P28" s="118"/>
      <c r="Q28" s="118"/>
      <c r="R28" s="118"/>
      <c r="S28" s="118"/>
      <c r="T28" s="123"/>
      <c r="U28" s="123"/>
      <c r="V28" s="123"/>
      <c r="W28" s="123"/>
      <c r="X28" s="123"/>
      <c r="Z28" s="74"/>
      <c r="AA28" s="74"/>
      <c r="AB28" s="74"/>
      <c r="AC28" s="74"/>
      <c r="AD28" s="81"/>
      <c r="AE28" s="81"/>
      <c r="AF28" s="81"/>
      <c r="AG28" s="77"/>
      <c r="AH28" s="81"/>
      <c r="AI28" s="77"/>
      <c r="AJ28" s="74"/>
      <c r="AK28" s="74"/>
      <c r="AL28" s="74"/>
      <c r="AM28" s="74"/>
      <c r="AN28" s="74"/>
      <c r="AO28" s="74"/>
      <c r="AP28" s="74"/>
      <c r="AQ28" s="74"/>
    </row>
    <row r="29" spans="1:43" x14ac:dyDescent="0.25">
      <c r="D29" s="135"/>
      <c r="Z29" s="135"/>
      <c r="AA29" s="135"/>
      <c r="AB29" s="135"/>
      <c r="AC29" s="135"/>
      <c r="AD29" s="135"/>
      <c r="AE29" s="135"/>
      <c r="AF29" s="135"/>
      <c r="AG29" s="135"/>
      <c r="AH29" s="135"/>
      <c r="AI29" s="135"/>
      <c r="AJ29" s="135"/>
      <c r="AK29" s="135"/>
      <c r="AL29" s="135"/>
      <c r="AM29" s="135"/>
      <c r="AN29" s="135"/>
      <c r="AO29" s="135"/>
      <c r="AP29" s="135"/>
      <c r="AQ29" s="135"/>
    </row>
    <row r="30" spans="1:43" x14ac:dyDescent="0.25">
      <c r="D30" s="135"/>
      <c r="Z30" s="135"/>
      <c r="AA30" s="135"/>
      <c r="AB30" s="135"/>
      <c r="AC30" s="135"/>
      <c r="AD30" s="135"/>
      <c r="AE30" s="135"/>
      <c r="AF30" s="135"/>
      <c r="AG30" s="135"/>
      <c r="AH30" s="135"/>
      <c r="AI30" s="135"/>
      <c r="AJ30" s="135"/>
      <c r="AK30" s="135"/>
      <c r="AL30" s="135"/>
      <c r="AM30" s="135"/>
      <c r="AN30" s="135"/>
      <c r="AO30" s="135"/>
      <c r="AP30" s="135"/>
      <c r="AQ30" s="135"/>
    </row>
    <row r="31" spans="1:43" x14ac:dyDescent="0.25">
      <c r="D31" s="135"/>
      <c r="Z31" s="135"/>
      <c r="AA31" s="135"/>
      <c r="AB31" s="135"/>
      <c r="AC31" s="135"/>
      <c r="AD31" s="135"/>
      <c r="AE31" s="135"/>
      <c r="AF31" s="135"/>
      <c r="AG31" s="135"/>
      <c r="AH31" s="135"/>
      <c r="AI31" s="135"/>
      <c r="AJ31" s="135"/>
      <c r="AK31" s="135"/>
      <c r="AL31" s="135"/>
      <c r="AM31" s="135"/>
      <c r="AN31" s="135"/>
      <c r="AO31" s="135"/>
      <c r="AP31" s="135"/>
      <c r="AQ31" s="135"/>
    </row>
    <row r="32" spans="1:43" x14ac:dyDescent="0.25">
      <c r="Z32" s="135"/>
      <c r="AA32" s="135"/>
      <c r="AB32" s="135"/>
      <c r="AC32" s="135"/>
      <c r="AD32" s="135"/>
      <c r="AE32" s="135"/>
      <c r="AF32" s="135"/>
      <c r="AG32" s="135"/>
      <c r="AH32" s="135"/>
      <c r="AI32" s="135"/>
      <c r="AJ32" s="135"/>
      <c r="AK32" s="135"/>
      <c r="AL32" s="135"/>
      <c r="AM32" s="135"/>
      <c r="AN32" s="135"/>
      <c r="AO32" s="135"/>
      <c r="AP32" s="135"/>
      <c r="AQ32" s="135"/>
    </row>
    <row r="33" spans="26:43" x14ac:dyDescent="0.25">
      <c r="Z33" s="135"/>
      <c r="AA33" s="135"/>
      <c r="AB33" s="135"/>
      <c r="AC33" s="135"/>
      <c r="AD33" s="135"/>
      <c r="AE33" s="135"/>
      <c r="AF33" s="135"/>
      <c r="AG33" s="135"/>
      <c r="AH33" s="135"/>
      <c r="AI33" s="135"/>
      <c r="AJ33" s="135"/>
      <c r="AK33" s="135"/>
      <c r="AL33" s="135"/>
      <c r="AM33" s="135"/>
      <c r="AN33" s="135"/>
      <c r="AO33" s="135"/>
      <c r="AP33" s="135"/>
      <c r="AQ33" s="135"/>
    </row>
    <row r="34" spans="26:43" x14ac:dyDescent="0.25">
      <c r="Z34" s="135"/>
      <c r="AA34" s="135"/>
      <c r="AB34" s="135"/>
      <c r="AC34" s="135"/>
      <c r="AD34" s="135"/>
      <c r="AE34" s="135"/>
      <c r="AF34" s="135"/>
      <c r="AG34" s="135"/>
      <c r="AH34" s="135"/>
      <c r="AI34" s="135"/>
      <c r="AJ34" s="135"/>
      <c r="AK34" s="135"/>
      <c r="AL34" s="135"/>
      <c r="AM34" s="135"/>
      <c r="AN34" s="135"/>
      <c r="AO34" s="135"/>
      <c r="AP34" s="135"/>
      <c r="AQ34" s="135"/>
    </row>
    <row r="35" spans="26:43" x14ac:dyDescent="0.25">
      <c r="Z35" s="135"/>
      <c r="AA35" s="135"/>
      <c r="AB35" s="135"/>
      <c r="AC35" s="135"/>
      <c r="AD35" s="135"/>
      <c r="AE35" s="135"/>
      <c r="AF35" s="135"/>
      <c r="AG35" s="135"/>
      <c r="AH35" s="135"/>
      <c r="AI35" s="135"/>
      <c r="AJ35" s="135"/>
      <c r="AK35" s="135"/>
      <c r="AL35" s="135"/>
      <c r="AM35" s="135"/>
      <c r="AN35" s="135"/>
      <c r="AO35" s="135"/>
      <c r="AP35" s="135"/>
      <c r="AQ35" s="135"/>
    </row>
    <row r="36" spans="26:43" x14ac:dyDescent="0.25">
      <c r="Z36" s="135"/>
      <c r="AA36" s="135"/>
      <c r="AB36" s="135"/>
      <c r="AC36" s="135"/>
      <c r="AD36" s="135"/>
      <c r="AE36" s="135"/>
      <c r="AF36" s="135"/>
      <c r="AG36" s="135"/>
      <c r="AH36" s="135"/>
      <c r="AI36" s="135"/>
      <c r="AJ36" s="135"/>
      <c r="AK36" s="135"/>
      <c r="AL36" s="135"/>
      <c r="AM36" s="135"/>
      <c r="AN36" s="135"/>
      <c r="AO36" s="135"/>
      <c r="AP36" s="135"/>
      <c r="AQ36" s="135"/>
    </row>
  </sheetData>
  <sheetProtection algorithmName="SHA-512" hashValue="loM8xr6h3A4vsX1/M6OhlZ6Dw0GVshnSooyU2Cz1TzJaz+wDy1MunjlfwIHmCYh5NRMxYukEtXf5P4ACjqvVNQ==" saltValue="na2/CEALNPp6zqWPrSL69A==" spinCount="100000" sheet="1" objects="1" scenarios="1"/>
  <sortState xmlns:xlrd2="http://schemas.microsoft.com/office/spreadsheetml/2017/richdata2" ref="A8:AI74">
    <sortCondition ref="A8:A74"/>
  </sortState>
  <mergeCells count="2">
    <mergeCell ref="F2:I3"/>
    <mergeCell ref="F4:I5"/>
  </mergeCells>
  <conditionalFormatting sqref="G8:G28">
    <cfRule type="dataBar" priority="22">
      <dataBar>
        <cfvo type="num" val="0"/>
        <cfvo type="num" val="4"/>
        <color rgb="FF638EC6"/>
      </dataBar>
      <extLst>
        <ext xmlns:x14="http://schemas.microsoft.com/office/spreadsheetml/2009/9/main" uri="{B025F937-C7B1-47D3-B67F-A62EFF666E3E}">
          <x14:id>{018D2FA3-DA45-45D1-99D6-F32F5C9CE8AA}</x14:id>
        </ext>
      </extLst>
    </cfRule>
  </conditionalFormatting>
  <conditionalFormatting sqref="H8:H28">
    <cfRule type="dataBar" priority="21">
      <dataBar>
        <cfvo type="num" val="0"/>
        <cfvo type="num" val="4"/>
        <color rgb="FF00B050"/>
      </dataBar>
      <extLst>
        <ext xmlns:x14="http://schemas.microsoft.com/office/spreadsheetml/2009/9/main" uri="{B025F937-C7B1-47D3-B67F-A62EFF666E3E}">
          <x14:id>{4BB5F45C-8F86-417D-8A10-26420E98D74D}</x14:id>
        </ext>
      </extLst>
    </cfRule>
  </conditionalFormatting>
  <pageMargins left="0.7" right="0.7" top="0.75" bottom="0.75" header="0.3" footer="0.3"/>
  <pageSetup paperSize="9" scale="73"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018D2FA3-DA45-45D1-99D6-F32F5C9CE8AA}">
            <x14:dataBar minLength="0" maxLength="100" gradient="0">
              <x14:cfvo type="num">
                <xm:f>0</xm:f>
              </x14:cfvo>
              <x14:cfvo type="num">
                <xm:f>4</xm:f>
              </x14:cfvo>
              <x14:negativeFillColor rgb="FFFF0000"/>
              <x14:axisColor rgb="FF000000"/>
            </x14:dataBar>
          </x14:cfRule>
          <xm:sqref>G8:G28</xm:sqref>
        </x14:conditionalFormatting>
        <x14:conditionalFormatting xmlns:xm="http://schemas.microsoft.com/office/excel/2006/main">
          <x14:cfRule type="dataBar" id="{4BB5F45C-8F86-417D-8A10-26420E98D74D}">
            <x14:dataBar minLength="0" maxLength="100" gradient="0">
              <x14:cfvo type="num">
                <xm:f>0</xm:f>
              </x14:cfvo>
              <x14:cfvo type="num">
                <xm:f>4</xm:f>
              </x14:cfvo>
              <x14:negativeFillColor rgb="FFFF0000"/>
              <x14:axisColor rgb="FF000000"/>
            </x14:dataBar>
          </x14:cfRule>
          <xm:sqref>H8:H28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50"/>
    <pageSetUpPr autoPageBreaks="0" fitToPage="1"/>
  </sheetPr>
  <dimension ref="A2:AV39"/>
  <sheetViews>
    <sheetView showGridLines="0" showRowColHeaders="0" zoomScaleNormal="100" workbookViewId="0">
      <pane ySplit="7" topLeftCell="A8" activePane="bottomLeft" state="frozen"/>
      <selection activeCell="D1" sqref="D1"/>
      <selection pane="bottomLeft" sqref="A1:D5041"/>
    </sheetView>
  </sheetViews>
  <sheetFormatPr defaultColWidth="9.140625" defaultRowHeight="15" x14ac:dyDescent="0.25"/>
  <cols>
    <col min="1" max="1" width="9.28515625" style="152" hidden="1" customWidth="1"/>
    <col min="2" max="3" width="8.85546875" style="21" hidden="1" customWidth="1"/>
    <col min="4" max="4" width="6.28515625" style="21" customWidth="1"/>
    <col min="5" max="5" width="15.5703125" style="21" customWidth="1"/>
    <col min="6" max="6" width="67.42578125" style="21" customWidth="1"/>
    <col min="7" max="8" width="27" style="21" customWidth="1"/>
    <col min="9" max="9" width="41.7109375" style="83" customWidth="1"/>
    <col min="10" max="11" width="9.140625" style="21" customWidth="1"/>
    <col min="12" max="18" width="9.140625" style="21" hidden="1" customWidth="1"/>
    <col min="19" max="20" width="9.140625" style="21" customWidth="1"/>
    <col min="21" max="25" width="9.140625" style="21" hidden="1" customWidth="1"/>
    <col min="26" max="35" width="9.140625" style="21" customWidth="1"/>
    <col min="36" max="16384" width="9.140625" style="21"/>
  </cols>
  <sheetData>
    <row r="2" spans="1:48" s="53" customFormat="1" ht="15" customHeight="1" x14ac:dyDescent="0.25">
      <c r="A2" s="152"/>
      <c r="B2" s="21"/>
      <c r="C2" s="21"/>
      <c r="D2" s="21"/>
      <c r="E2" s="21"/>
      <c r="F2" s="314" t="str">
        <f>"Results"&amp;IF(LEN(profile_name_of_organisation)=0,""," for "&amp;profile_name_of_organisation)</f>
        <v>Results</v>
      </c>
      <c r="G2" s="314"/>
      <c r="H2" s="314"/>
      <c r="I2" s="314"/>
      <c r="J2" s="106"/>
      <c r="K2" s="106"/>
      <c r="L2" s="106"/>
      <c r="M2" s="106"/>
      <c r="N2" s="106"/>
      <c r="O2" s="106"/>
      <c r="P2" s="106"/>
      <c r="Q2" s="106"/>
      <c r="R2" s="106"/>
      <c r="S2" s="106"/>
      <c r="T2" s="106"/>
      <c r="U2" s="106"/>
      <c r="V2" s="106"/>
      <c r="W2" s="106"/>
      <c r="X2" s="106"/>
    </row>
    <row r="3" spans="1:48" s="53" customFormat="1" ht="15" customHeight="1" x14ac:dyDescent="0.25">
      <c r="A3" s="152"/>
      <c r="B3" s="21"/>
      <c r="C3" s="21"/>
      <c r="D3" s="21"/>
      <c r="E3" s="21"/>
      <c r="F3" s="314"/>
      <c r="G3" s="314"/>
      <c r="H3" s="314"/>
      <c r="I3" s="314"/>
      <c r="J3" s="106"/>
      <c r="K3" s="106"/>
      <c r="L3" s="106"/>
      <c r="M3" s="106"/>
      <c r="N3" s="106"/>
      <c r="O3" s="106"/>
      <c r="P3" s="106"/>
      <c r="Q3" s="106"/>
      <c r="R3" s="106"/>
      <c r="S3" s="106"/>
      <c r="T3" s="106"/>
      <c r="U3" s="106"/>
      <c r="V3" s="106"/>
      <c r="W3" s="106"/>
      <c r="X3" s="106"/>
    </row>
    <row r="4" spans="1:48" s="53" customFormat="1" ht="15" customHeight="1" x14ac:dyDescent="0.25">
      <c r="A4" s="152"/>
      <c r="B4" s="21"/>
      <c r="C4" s="21"/>
      <c r="D4" s="21"/>
      <c r="E4" s="21"/>
      <c r="F4" s="315" t="str">
        <f ca="1">'Assess A'!F2</f>
        <v>Maturity model for Stage A - Preparation</v>
      </c>
      <c r="G4" s="315"/>
      <c r="H4" s="315"/>
      <c r="I4" s="315"/>
      <c r="J4" s="106"/>
      <c r="K4" s="106"/>
      <c r="L4" s="106"/>
      <c r="M4" s="106"/>
      <c r="N4" s="106"/>
      <c r="O4" s="106"/>
      <c r="P4" s="106"/>
      <c r="Q4" s="106"/>
      <c r="R4" s="106"/>
      <c r="S4" s="106"/>
      <c r="T4" s="106"/>
      <c r="U4" s="106"/>
      <c r="V4" s="106"/>
      <c r="W4" s="106"/>
      <c r="X4" s="106"/>
    </row>
    <row r="5" spans="1:48" s="53" customFormat="1" ht="15" customHeight="1" x14ac:dyDescent="0.25">
      <c r="A5" s="152"/>
      <c r="B5" s="21"/>
      <c r="C5" s="21"/>
      <c r="D5" s="21"/>
      <c r="E5" s="21"/>
      <c r="F5" s="315"/>
      <c r="G5" s="315"/>
      <c r="H5" s="315"/>
      <c r="I5" s="315"/>
      <c r="J5" s="106"/>
      <c r="K5" s="106"/>
      <c r="L5" s="106"/>
      <c r="M5" s="106"/>
      <c r="N5" s="106"/>
      <c r="O5" s="106"/>
      <c r="P5" s="106"/>
      <c r="Q5" s="106"/>
      <c r="R5" s="106"/>
      <c r="S5" s="106"/>
      <c r="T5" s="106"/>
      <c r="U5" s="106"/>
      <c r="V5" s="106"/>
      <c r="W5" s="106"/>
      <c r="X5" s="106"/>
    </row>
    <row r="7" spans="1:48" ht="19.5" x14ac:dyDescent="0.3">
      <c r="A7" s="9" t="s">
        <v>67</v>
      </c>
      <c r="B7" s="65" t="s">
        <v>72</v>
      </c>
      <c r="C7" s="13" t="s">
        <v>71</v>
      </c>
      <c r="F7" s="54"/>
      <c r="G7" s="59" t="s">
        <v>140</v>
      </c>
      <c r="H7" s="60" t="s">
        <v>133</v>
      </c>
      <c r="I7" s="84" t="s">
        <v>48</v>
      </c>
      <c r="AD7" s="230"/>
      <c r="AE7" s="230"/>
      <c r="AF7" s="230"/>
      <c r="AG7" s="231"/>
      <c r="AH7" s="230"/>
      <c r="AI7" s="231"/>
    </row>
    <row r="8" spans="1:48" s="125" customFormat="1" ht="30" customHeight="1" x14ac:dyDescent="0.25">
      <c r="A8" s="134">
        <v>24</v>
      </c>
      <c r="B8" s="117" t="str">
        <f t="shared" ref="B8:B35" si="0">VLOOKUP(A8,contentrefmockup,2,FALSE)</f>
        <v>B.1</v>
      </c>
      <c r="C8" s="118">
        <f t="shared" ref="C8:C35" si="1">VLOOKUP(A8,contentrefmockup,15,FALSE)</f>
        <v>2</v>
      </c>
      <c r="D8" s="214"/>
      <c r="E8" s="142" t="str">
        <f t="shared" ref="E8:E35" si="2">IF(C8=1,"Phase "&amp;B8,IF(C8=2,"Step "&amp;VLOOKUP(A8,contentrefmockup,4,FALSE),B8))</f>
        <v>Step 1</v>
      </c>
      <c r="F8" s="224" t="str">
        <f t="shared" ref="F8:F35" si="3">VLOOKUP(A8,contentrefmockup,7,FALSE)</f>
        <v>Agree testing style and type</v>
      </c>
      <c r="G8" s="175" t="str">
        <f ca="1">"Maturity level:  "&amp;O8</f>
        <v>Maturity level:  Level 1</v>
      </c>
      <c r="H8" s="176"/>
      <c r="I8" s="225"/>
      <c r="J8" s="226"/>
      <c r="K8" s="226"/>
      <c r="L8" s="226" t="str">
        <f>TEXT(B8,"0.0")</f>
        <v>B.1</v>
      </c>
      <c r="M8" s="213">
        <f ca="1">SUMIF(Y:Y,L8,G:G)/(SUMIF(Y:Y,L8,X:X))</f>
        <v>0</v>
      </c>
      <c r="N8" s="213" t="str">
        <f ca="1">HLOOKUP(M8*100,level_ref,2,TRUE)</f>
        <v>Level 1</v>
      </c>
      <c r="O8" s="213" t="str">
        <f ca="1">IF(ISERROR(N8),"",N8)</f>
        <v>Level 1</v>
      </c>
      <c r="P8" s="213">
        <f ca="1">HLOOKUP(M8*100,level_ref,3,TRUE)</f>
        <v>1</v>
      </c>
      <c r="Q8" s="213">
        <f ca="1">IF(ISERROR(P8),"",P8)</f>
        <v>1</v>
      </c>
      <c r="R8" s="213">
        <f ca="1">M8*5</f>
        <v>0</v>
      </c>
      <c r="S8" s="213"/>
      <c r="T8" s="213"/>
      <c r="U8" s="213" t="str">
        <f ca="1">IF(AND(C8&gt;4,VLOOKUP(A8,Assess_B_Reference,34,FALSE)&lt;&gt;8),LEFT(B8,3),"")</f>
        <v/>
      </c>
      <c r="V8" s="213">
        <f ca="1">VLOOKUP(A8,Weightings_Assessments,24,FALSE)</f>
        <v>0</v>
      </c>
      <c r="W8" s="213">
        <f ca="1">IF(VLOOKUP(A8,Assess_B_Reference,34,FALSE)=8,0,1)</f>
        <v>1</v>
      </c>
      <c r="X8" s="213">
        <f ca="1">W8*V8*4</f>
        <v>0</v>
      </c>
      <c r="Y8" s="125" t="str">
        <f ca="1">AG8&amp;U8</f>
        <v/>
      </c>
      <c r="Z8" s="215"/>
      <c r="AA8" s="215"/>
      <c r="AB8" s="215"/>
      <c r="AC8" s="215"/>
      <c r="AD8" s="81"/>
      <c r="AE8" s="81"/>
      <c r="AF8" s="81"/>
      <c r="AG8" s="77"/>
      <c r="AH8" s="81"/>
      <c r="AI8" s="77"/>
      <c r="AJ8" s="215"/>
      <c r="AK8" s="215"/>
      <c r="AL8" s="215"/>
      <c r="AM8" s="215"/>
      <c r="AN8" s="215"/>
      <c r="AO8" s="215"/>
      <c r="AP8" s="215"/>
      <c r="AQ8" s="215"/>
      <c r="AR8" s="215"/>
      <c r="AS8" s="215"/>
      <c r="AT8" s="215"/>
      <c r="AU8" s="215"/>
      <c r="AV8" s="215"/>
    </row>
    <row r="9" spans="1:48" s="75" customFormat="1" ht="45" x14ac:dyDescent="0.25">
      <c r="A9" s="67">
        <v>25</v>
      </c>
      <c r="B9" s="68" t="str">
        <f t="shared" si="0"/>
        <v>B.1.01</v>
      </c>
      <c r="C9" s="69">
        <f t="shared" si="1"/>
        <v>5</v>
      </c>
      <c r="D9" s="20"/>
      <c r="E9" s="86" t="str">
        <f t="shared" si="2"/>
        <v>B.1.01</v>
      </c>
      <c r="F9" s="71" t="str">
        <f t="shared" si="3"/>
        <v>Do you determine what style of penetration testing is required (e.g. black, grey or white box testing; internal or external testing) and what type of testing is to be performed?</v>
      </c>
      <c r="G9" s="177" t="str">
        <f ca="1">VLOOKUP($A9,Assess_B_Reference,15,FALSE)</f>
        <v/>
      </c>
      <c r="H9" s="177">
        <f ca="1">(VLOOKUP(LEFT($B9,3),targets_lookup,5,FALSE))*VLOOKUP($A9,Weightings_Assessments,23,FALSE)</f>
        <v>2</v>
      </c>
      <c r="I9" s="71" t="str">
        <f ca="1">IF(VLOOKUP(A9,Assess_B_Reference,16,FALSE)=0,"",VLOOKUP(A9,Assess_B_Reference,16,FALSE))</f>
        <v/>
      </c>
      <c r="J9" s="69"/>
      <c r="K9" s="69"/>
      <c r="L9" s="69"/>
      <c r="M9" s="69"/>
      <c r="N9" s="69"/>
      <c r="O9" s="69"/>
      <c r="P9" s="69"/>
      <c r="Q9" s="69"/>
      <c r="R9" s="69"/>
      <c r="S9" s="69"/>
      <c r="T9" s="76"/>
      <c r="U9" s="100" t="str">
        <f ca="1">IF(AND(C9&gt;4,VLOOKUP(A9,Assess_B_Reference,34,FALSE)&lt;&gt;8),LEFT(B9,3),"")</f>
        <v>B.1</v>
      </c>
      <c r="V9" s="100">
        <f ca="1">VLOOKUP(A9,Weightings_Assessments,24,FALSE)</f>
        <v>1</v>
      </c>
      <c r="W9" s="100">
        <f ca="1">IF(VLOOKUP(A9,Assess_B_Reference,34,FALSE)=8,0,1)</f>
        <v>1</v>
      </c>
      <c r="X9" s="100">
        <f ca="1">W9*V9*4</f>
        <v>4</v>
      </c>
      <c r="Y9" s="75" t="str">
        <f ca="1">AG9&amp;U9</f>
        <v>B.1</v>
      </c>
      <c r="Z9" s="74"/>
      <c r="AA9" s="74"/>
      <c r="AB9" s="74"/>
      <c r="AC9" s="74"/>
      <c r="AD9" s="81"/>
      <c r="AE9" s="81"/>
      <c r="AF9" s="81"/>
      <c r="AG9" s="77"/>
      <c r="AH9" s="81"/>
      <c r="AI9" s="77"/>
      <c r="AJ9" s="74"/>
      <c r="AK9" s="74"/>
      <c r="AL9" s="74"/>
      <c r="AM9" s="74"/>
      <c r="AN9" s="74"/>
      <c r="AO9" s="74"/>
      <c r="AP9" s="74"/>
      <c r="AQ9" s="74"/>
      <c r="AR9" s="74"/>
      <c r="AS9" s="74"/>
      <c r="AT9" s="74"/>
      <c r="AU9" s="74"/>
      <c r="AV9" s="74"/>
    </row>
    <row r="10" spans="1:48" s="75" customFormat="1" ht="150" x14ac:dyDescent="0.25">
      <c r="A10" s="67">
        <v>26</v>
      </c>
      <c r="B10" s="68" t="str">
        <f t="shared" si="0"/>
        <v/>
      </c>
      <c r="C10" s="69">
        <f t="shared" si="1"/>
        <v>3</v>
      </c>
      <c r="D10" s="20"/>
      <c r="E10" s="86" t="str">
        <f t="shared" si="2"/>
        <v/>
      </c>
      <c r="F10" s="147" t="str">
        <f t="shared" si="3"/>
        <v>When determining the style of penetration testing to be part of the scope, you should: evaluate the need for black, grey or white box testing; consider the use of an ‘external’ penetration test, aimed at IT systems from ‘outside the building’ and / or an internal security test, end-to-end testing (i.e. for people, through data, devices, applications and infrastructure), emerging technologies (e.g. mobile applications); and social engineering. The type of testing to consider as part of the scope should include web application, IT infrastructure and specialised penetration testing, as well as whether or not testing should be performed in live and / or test environments.</v>
      </c>
      <c r="G10" s="177"/>
      <c r="H10" s="177"/>
      <c r="I10" s="71"/>
      <c r="J10" s="69"/>
      <c r="K10" s="69"/>
      <c r="L10" s="69"/>
      <c r="M10" s="69"/>
      <c r="N10" s="69"/>
      <c r="O10" s="69"/>
      <c r="P10" s="69"/>
      <c r="Q10" s="69"/>
      <c r="R10" s="69"/>
      <c r="S10" s="69"/>
      <c r="T10" s="76"/>
      <c r="U10" s="76"/>
      <c r="V10" s="76"/>
      <c r="W10" s="76"/>
      <c r="X10" s="76"/>
      <c r="Z10" s="74"/>
      <c r="AA10" s="74"/>
      <c r="AB10" s="74"/>
      <c r="AC10" s="74"/>
      <c r="AD10" s="81"/>
      <c r="AE10" s="81"/>
      <c r="AF10" s="81"/>
      <c r="AG10" s="77"/>
      <c r="AH10" s="81"/>
      <c r="AI10" s="77"/>
      <c r="AJ10" s="74"/>
      <c r="AK10" s="74"/>
      <c r="AL10" s="74"/>
      <c r="AM10" s="74"/>
      <c r="AN10" s="74"/>
      <c r="AO10" s="74"/>
      <c r="AP10" s="74"/>
      <c r="AQ10" s="74"/>
      <c r="AR10" s="74"/>
      <c r="AS10" s="74"/>
      <c r="AT10" s="74"/>
      <c r="AU10" s="74"/>
      <c r="AV10" s="74"/>
    </row>
    <row r="11" spans="1:48" s="75" customFormat="1" ht="30" customHeight="1" x14ac:dyDescent="0.25">
      <c r="A11" s="67">
        <v>27</v>
      </c>
      <c r="B11" s="68" t="str">
        <f t="shared" si="0"/>
        <v>B.2</v>
      </c>
      <c r="C11" s="69">
        <f t="shared" si="1"/>
        <v>2</v>
      </c>
      <c r="D11" s="20"/>
      <c r="E11" s="105" t="str">
        <f t="shared" si="2"/>
        <v>Step 2</v>
      </c>
      <c r="F11" s="102" t="str">
        <f t="shared" si="3"/>
        <v>Identify testing constraints</v>
      </c>
      <c r="G11" s="175" t="str">
        <f ca="1">"Maturity level:  "&amp;O11</f>
        <v>Maturity level:  Level 1</v>
      </c>
      <c r="H11" s="176"/>
      <c r="I11" s="153"/>
      <c r="J11" s="101"/>
      <c r="K11" s="101"/>
      <c r="L11" s="101" t="str">
        <f>TEXT(B11,"0.0")</f>
        <v>B.2</v>
      </c>
      <c r="M11" s="100">
        <f ca="1">SUMIF(Y:Y,L11,G:G)/(SUMIF(Y:Y,L11,X:X))</f>
        <v>0</v>
      </c>
      <c r="N11" s="100" t="str">
        <f ca="1">HLOOKUP(M11*100,level_ref,2,TRUE)</f>
        <v>Level 1</v>
      </c>
      <c r="O11" s="100" t="str">
        <f ca="1">IF(ISERROR(N11),"",N11)</f>
        <v>Level 1</v>
      </c>
      <c r="P11" s="100">
        <f ca="1">HLOOKUP(M11*100,level_ref,3,TRUE)</f>
        <v>1</v>
      </c>
      <c r="Q11" s="100">
        <f ca="1">IF(ISERROR(P11),"",P11)</f>
        <v>1</v>
      </c>
      <c r="R11" s="100">
        <f ca="1">M11*5</f>
        <v>0</v>
      </c>
      <c r="S11" s="100"/>
      <c r="T11" s="100"/>
      <c r="U11" s="100" t="str">
        <f ca="1">IF(AND(C11&gt;4,VLOOKUP(A11,Assess_B_Reference,34,FALSE)&lt;&gt;8),LEFT(B11,3),"")</f>
        <v/>
      </c>
      <c r="V11" s="100">
        <f ca="1">VLOOKUP(A11,Weightings_Assessments,24,FALSE)</f>
        <v>0</v>
      </c>
      <c r="W11" s="100">
        <f ca="1">IF(VLOOKUP(A11,Assess_B_Reference,34,FALSE)=8,0,1)</f>
        <v>1</v>
      </c>
      <c r="X11" s="100">
        <f ca="1">W11*V11*4</f>
        <v>0</v>
      </c>
      <c r="Y11" s="75" t="str">
        <f ca="1">AG11&amp;U11</f>
        <v/>
      </c>
      <c r="Z11" s="74"/>
      <c r="AA11" s="74"/>
      <c r="AB11" s="74"/>
      <c r="AC11" s="74"/>
      <c r="AD11" s="81"/>
      <c r="AE11" s="81"/>
      <c r="AF11" s="81"/>
      <c r="AG11" s="77"/>
      <c r="AH11" s="81"/>
      <c r="AI11" s="77"/>
      <c r="AJ11" s="74"/>
      <c r="AK11" s="74"/>
      <c r="AL11" s="74"/>
      <c r="AM11" s="74"/>
      <c r="AN11" s="74"/>
      <c r="AO11" s="74"/>
      <c r="AP11" s="74"/>
      <c r="AQ11" s="74"/>
      <c r="AR11" s="74"/>
      <c r="AS11" s="74"/>
      <c r="AT11" s="74"/>
      <c r="AU11" s="74"/>
      <c r="AV11" s="74"/>
    </row>
    <row r="12" spans="1:48" s="75" customFormat="1" ht="30" x14ac:dyDescent="0.25">
      <c r="A12" s="67">
        <v>28</v>
      </c>
      <c r="B12" s="68" t="str">
        <f t="shared" si="0"/>
        <v>B.2.01</v>
      </c>
      <c r="C12" s="69">
        <f t="shared" si="1"/>
        <v>5</v>
      </c>
      <c r="D12" s="20"/>
      <c r="E12" s="86" t="str">
        <f t="shared" si="2"/>
        <v>B.2.01</v>
      </c>
      <c r="F12" s="71" t="str">
        <f t="shared" si="3"/>
        <v>Do you identify any testing constraints associated with planned penetration testing?</v>
      </c>
      <c r="G12" s="177" t="str">
        <f ca="1">VLOOKUP($A12,Assess_B_Reference,15,FALSE)</f>
        <v/>
      </c>
      <c r="H12" s="177">
        <f ca="1">(VLOOKUP(LEFT($B12,3),targets_lookup,5,FALSE))*VLOOKUP($A12,Weightings_Assessments,23,FALSE)</f>
        <v>2</v>
      </c>
      <c r="I12" s="71" t="str">
        <f ca="1">IF(VLOOKUP(A12,Assess_B_Reference,16,FALSE)=0,"",VLOOKUP(A12,Assess_B_Reference,16,FALSE))</f>
        <v/>
      </c>
      <c r="J12" s="69"/>
      <c r="K12" s="69"/>
      <c r="L12" s="69"/>
      <c r="M12" s="69"/>
      <c r="N12" s="69"/>
      <c r="O12" s="69"/>
      <c r="P12" s="69"/>
      <c r="Q12" s="69"/>
      <c r="R12" s="69"/>
      <c r="S12" s="69"/>
      <c r="T12" s="76"/>
      <c r="U12" s="100" t="str">
        <f ca="1">IF(AND(C12&gt;4,VLOOKUP(A12,Assess_B_Reference,34,FALSE)&lt;&gt;8),LEFT(B12,3),"")</f>
        <v>B.2</v>
      </c>
      <c r="V12" s="100">
        <f ca="1">VLOOKUP(A12,Weightings_Assessments,24,FALSE)</f>
        <v>1</v>
      </c>
      <c r="W12" s="100">
        <f ca="1">IF(VLOOKUP(A12,Assess_B_Reference,34,FALSE)=8,0,1)</f>
        <v>1</v>
      </c>
      <c r="X12" s="100">
        <f ca="1">W12*V12*4</f>
        <v>4</v>
      </c>
      <c r="Y12" s="75" t="str">
        <f ca="1">AG12&amp;U12</f>
        <v>B.2</v>
      </c>
      <c r="Z12" s="74"/>
      <c r="AA12" s="74"/>
      <c r="AB12" s="74"/>
      <c r="AC12" s="74"/>
      <c r="AD12" s="81"/>
      <c r="AE12" s="81"/>
      <c r="AF12" s="81"/>
      <c r="AG12" s="77"/>
      <c r="AH12" s="81"/>
      <c r="AI12" s="77"/>
      <c r="AJ12" s="74"/>
      <c r="AK12" s="74"/>
      <c r="AL12" s="74"/>
      <c r="AM12" s="74"/>
      <c r="AN12" s="74"/>
      <c r="AO12" s="74"/>
      <c r="AP12" s="74"/>
      <c r="AQ12" s="74"/>
      <c r="AR12" s="74"/>
      <c r="AS12" s="74"/>
      <c r="AT12" s="74"/>
      <c r="AU12" s="74"/>
      <c r="AV12" s="74"/>
    </row>
    <row r="13" spans="1:48" s="75" customFormat="1" ht="60" x14ac:dyDescent="0.25">
      <c r="A13" s="67">
        <v>29</v>
      </c>
      <c r="B13" s="68" t="str">
        <f t="shared" si="0"/>
        <v/>
      </c>
      <c r="C13" s="69">
        <f t="shared" si="1"/>
        <v>3</v>
      </c>
      <c r="D13" s="20"/>
      <c r="E13" s="86" t="str">
        <f t="shared" si="2"/>
        <v/>
      </c>
      <c r="F13" s="147" t="str">
        <f t="shared" si="3"/>
        <v>Testing constraints can include: aspects of the business that cannot be tested due to operational and technical limitations; legal, resourcing or time restrictions; and the likelihood that most penetration testing will not find all vulnerabilities of a given environment.</v>
      </c>
      <c r="G13" s="177"/>
      <c r="H13" s="177"/>
      <c r="I13" s="71"/>
      <c r="J13" s="69"/>
      <c r="K13" s="69"/>
      <c r="L13" s="69"/>
      <c r="M13" s="69"/>
      <c r="N13" s="69"/>
      <c r="O13" s="69"/>
      <c r="P13" s="69"/>
      <c r="Q13" s="69"/>
      <c r="R13" s="69"/>
      <c r="S13" s="69"/>
      <c r="T13" s="76"/>
      <c r="U13" s="76"/>
      <c r="V13" s="76"/>
      <c r="W13" s="76"/>
      <c r="X13" s="76"/>
      <c r="Z13" s="74"/>
      <c r="AA13" s="74"/>
      <c r="AB13" s="74"/>
      <c r="AC13" s="74"/>
      <c r="AD13" s="81"/>
      <c r="AE13" s="81"/>
      <c r="AF13" s="81"/>
      <c r="AG13" s="77"/>
      <c r="AH13" s="81"/>
      <c r="AI13" s="77"/>
      <c r="AJ13" s="74"/>
      <c r="AK13" s="74"/>
      <c r="AL13" s="74"/>
      <c r="AM13" s="74"/>
      <c r="AN13" s="74"/>
      <c r="AO13" s="74"/>
      <c r="AP13" s="74"/>
      <c r="AQ13" s="74"/>
      <c r="AR13" s="74"/>
      <c r="AS13" s="74"/>
      <c r="AT13" s="74"/>
      <c r="AU13" s="74"/>
      <c r="AV13" s="74"/>
    </row>
    <row r="14" spans="1:48" s="75" customFormat="1" ht="30" customHeight="1" x14ac:dyDescent="0.25">
      <c r="A14" s="67">
        <v>30</v>
      </c>
      <c r="B14" s="68" t="str">
        <f t="shared" si="0"/>
        <v>B.3</v>
      </c>
      <c r="C14" s="69">
        <f t="shared" si="1"/>
        <v>2</v>
      </c>
      <c r="D14" s="20"/>
      <c r="E14" s="105" t="str">
        <f t="shared" si="2"/>
        <v>Step 3</v>
      </c>
      <c r="F14" s="102" t="str">
        <f t="shared" si="3"/>
        <v>Produce scope statements</v>
      </c>
      <c r="G14" s="175" t="str">
        <f ca="1">"Maturity level:  "&amp;O14</f>
        <v>Maturity level:  Level 1</v>
      </c>
      <c r="H14" s="176"/>
      <c r="I14" s="153"/>
      <c r="J14" s="101"/>
      <c r="K14" s="101"/>
      <c r="L14" s="101" t="str">
        <f>TEXT(B14,"0.0")</f>
        <v>B.3</v>
      </c>
      <c r="M14" s="100">
        <f ca="1">SUMIF(Y:Y,L14,G:G)/(SUMIF(Y:Y,L14,X:X))</f>
        <v>0</v>
      </c>
      <c r="N14" s="100" t="str">
        <f ca="1">HLOOKUP(M14*100,level_ref,2,TRUE)</f>
        <v>Level 1</v>
      </c>
      <c r="O14" s="100" t="str">
        <f ca="1">IF(ISERROR(N14),"",N14)</f>
        <v>Level 1</v>
      </c>
      <c r="P14" s="100">
        <f ca="1">HLOOKUP(M14*100,level_ref,3,TRUE)</f>
        <v>1</v>
      </c>
      <c r="Q14" s="100">
        <f ca="1">IF(ISERROR(P14),"",P14)</f>
        <v>1</v>
      </c>
      <c r="R14" s="100">
        <f ca="1">M14*5</f>
        <v>0</v>
      </c>
      <c r="S14" s="100"/>
      <c r="T14" s="100"/>
      <c r="U14" s="100" t="str">
        <f ca="1">IF(AND(C14&gt;4,VLOOKUP(A14,Assess_B_Reference,34,FALSE)&lt;&gt;8),LEFT(B14,3),"")</f>
        <v/>
      </c>
      <c r="V14" s="100">
        <f ca="1">VLOOKUP(A14,Weightings_Assessments,24,FALSE)</f>
        <v>0</v>
      </c>
      <c r="W14" s="100">
        <f ca="1">IF(VLOOKUP(A14,Assess_B_Reference,34,FALSE)=8,0,1)</f>
        <v>1</v>
      </c>
      <c r="X14" s="100">
        <f ca="1">W14*V14*4</f>
        <v>0</v>
      </c>
      <c r="Y14" s="75" t="str">
        <f ca="1">AG14&amp;U14</f>
        <v/>
      </c>
      <c r="Z14" s="74"/>
      <c r="AA14" s="74"/>
      <c r="AB14" s="74"/>
      <c r="AC14" s="74"/>
      <c r="AD14" s="81"/>
      <c r="AE14" s="81"/>
      <c r="AF14" s="81"/>
      <c r="AG14" s="77"/>
      <c r="AH14" s="81"/>
      <c r="AI14" s="77"/>
      <c r="AJ14" s="74"/>
      <c r="AK14" s="74"/>
      <c r="AL14" s="74"/>
      <c r="AM14" s="74"/>
      <c r="AN14" s="74"/>
      <c r="AO14" s="74"/>
      <c r="AP14" s="74"/>
      <c r="AQ14" s="74"/>
      <c r="AR14" s="74"/>
      <c r="AS14" s="74"/>
      <c r="AT14" s="74"/>
      <c r="AU14" s="74"/>
      <c r="AV14" s="74"/>
    </row>
    <row r="15" spans="1:48" s="75" customFormat="1" ht="45" x14ac:dyDescent="0.25">
      <c r="A15" s="67">
        <v>31</v>
      </c>
      <c r="B15" s="68" t="str">
        <f t="shared" si="0"/>
        <v>B.3.01</v>
      </c>
      <c r="C15" s="69">
        <f t="shared" si="1"/>
        <v>5</v>
      </c>
      <c r="D15" s="20"/>
      <c r="E15" s="86" t="str">
        <f t="shared" si="2"/>
        <v>B.3.01</v>
      </c>
      <c r="F15" s="71" t="str">
        <f t="shared" si="3"/>
        <v>Do you produce formal scope statements for penetration testing, supported by defined reporting requirements, prior to tests commencing?</v>
      </c>
      <c r="G15" s="177" t="str">
        <f ca="1">VLOOKUP($A15,Assess_B_Reference,15,FALSE)</f>
        <v/>
      </c>
      <c r="H15" s="177">
        <f ca="1">(VLOOKUP(LEFT($B15,3),targets_lookup,5,FALSE))*VLOOKUP($A15,Weightings_Assessments,23,FALSE)</f>
        <v>2</v>
      </c>
      <c r="I15" s="71" t="str">
        <f ca="1">IF(VLOOKUP(A15,Assess_B_Reference,16,FALSE)=0,"",VLOOKUP(A15,Assess_B_Reference,16,FALSE))</f>
        <v/>
      </c>
      <c r="J15" s="69"/>
      <c r="K15" s="69"/>
      <c r="L15" s="69"/>
      <c r="M15" s="69"/>
      <c r="N15" s="69"/>
      <c r="O15" s="69"/>
      <c r="P15" s="69"/>
      <c r="Q15" s="69"/>
      <c r="R15" s="69"/>
      <c r="S15" s="69"/>
      <c r="T15" s="76"/>
      <c r="U15" s="100" t="str">
        <f ca="1">IF(AND(C15&gt;4,VLOOKUP(A15,Assess_B_Reference,34,FALSE)&lt;&gt;8),LEFT(B15,3),"")</f>
        <v>B.3</v>
      </c>
      <c r="V15" s="100">
        <f ca="1">VLOOKUP(A15,Weightings_Assessments,24,FALSE)</f>
        <v>1</v>
      </c>
      <c r="W15" s="100">
        <f ca="1">IF(VLOOKUP(A15,Assess_B_Reference,34,FALSE)=8,0,1)</f>
        <v>1</v>
      </c>
      <c r="X15" s="100">
        <f ca="1">W15*V15*4</f>
        <v>4</v>
      </c>
      <c r="Y15" s="75" t="str">
        <f ca="1">AG15&amp;U15</f>
        <v>B.3</v>
      </c>
      <c r="Z15" s="74"/>
      <c r="AA15" s="74"/>
      <c r="AB15" s="74"/>
      <c r="AC15" s="74"/>
      <c r="AD15" s="81"/>
      <c r="AE15" s="81"/>
      <c r="AF15" s="81"/>
      <c r="AG15" s="77"/>
      <c r="AH15" s="81"/>
      <c r="AI15" s="77"/>
      <c r="AJ15" s="74"/>
      <c r="AK15" s="74"/>
      <c r="AL15" s="74"/>
      <c r="AM15" s="74"/>
      <c r="AN15" s="74"/>
      <c r="AO15" s="74"/>
      <c r="AP15" s="74"/>
      <c r="AQ15" s="74"/>
      <c r="AR15" s="74"/>
      <c r="AS15" s="74"/>
      <c r="AT15" s="74"/>
      <c r="AU15" s="74"/>
      <c r="AV15" s="74"/>
    </row>
    <row r="16" spans="1:48" s="75" customFormat="1" ht="135" x14ac:dyDescent="0.25">
      <c r="A16" s="67">
        <v>32</v>
      </c>
      <c r="B16" s="68" t="str">
        <f t="shared" si="0"/>
        <v/>
      </c>
      <c r="C16" s="69">
        <f t="shared" si="1"/>
        <v>3</v>
      </c>
      <c r="D16" s="20"/>
      <c r="E16" s="86" t="str">
        <f t="shared" si="2"/>
        <v/>
      </c>
      <c r="F16" s="147" t="str">
        <f t="shared" si="3"/>
        <v>The scope of penetration tests should: be recorded in a formal document, such as a scope statement, that is signed-off by all relevant parties; include a definition of the target environment; specify resourcing requirements; define liabilities; include follow-up activities; and authorise testing to be conducted. Reporting requirements should specify the format and type of content, when the test report will be delivered, how the test report will be delivered (electronic and / or physical); and arrangements should be made to ensure that your service provider will meet your requirements in a satisfactory manner.</v>
      </c>
      <c r="G16" s="177"/>
      <c r="H16" s="177"/>
      <c r="I16" s="71"/>
      <c r="J16" s="69"/>
      <c r="K16" s="69"/>
      <c r="L16" s="69"/>
      <c r="M16" s="69"/>
      <c r="N16" s="69"/>
      <c r="O16" s="69"/>
      <c r="P16" s="69"/>
      <c r="Q16" s="69"/>
      <c r="R16" s="69"/>
      <c r="S16" s="69"/>
      <c r="T16" s="76"/>
      <c r="U16" s="76"/>
      <c r="V16" s="76"/>
      <c r="W16" s="76"/>
      <c r="X16" s="76"/>
      <c r="Z16" s="74"/>
      <c r="AA16" s="74"/>
      <c r="AB16" s="74"/>
      <c r="AC16" s="74"/>
      <c r="AD16" s="81"/>
      <c r="AE16" s="81"/>
      <c r="AF16" s="81"/>
      <c r="AG16" s="77"/>
      <c r="AH16" s="81"/>
      <c r="AI16" s="77"/>
      <c r="AJ16" s="74"/>
      <c r="AK16" s="74"/>
      <c r="AL16" s="74"/>
      <c r="AM16" s="74"/>
      <c r="AN16" s="74"/>
      <c r="AO16" s="74"/>
      <c r="AP16" s="74"/>
      <c r="AQ16" s="74"/>
      <c r="AR16" s="74"/>
      <c r="AS16" s="74"/>
      <c r="AT16" s="74"/>
      <c r="AU16" s="74"/>
      <c r="AV16" s="74"/>
    </row>
    <row r="17" spans="1:48" s="75" customFormat="1" ht="30" customHeight="1" x14ac:dyDescent="0.25">
      <c r="A17" s="67">
        <v>33</v>
      </c>
      <c r="B17" s="68" t="str">
        <f t="shared" si="0"/>
        <v>B.4</v>
      </c>
      <c r="C17" s="69">
        <f t="shared" si="1"/>
        <v>2</v>
      </c>
      <c r="D17" s="20"/>
      <c r="E17" s="105" t="str">
        <f t="shared" si="2"/>
        <v>Step 4</v>
      </c>
      <c r="F17" s="102" t="str">
        <f t="shared" si="3"/>
        <v>Establish a management assurance framework</v>
      </c>
      <c r="G17" s="175" t="str">
        <f ca="1">"Maturity level:  "&amp;O17</f>
        <v>Maturity level:  Level 1</v>
      </c>
      <c r="H17" s="176"/>
      <c r="I17" s="153"/>
      <c r="J17" s="101"/>
      <c r="K17" s="101"/>
      <c r="L17" s="101" t="str">
        <f>TEXT(B17,"0.0")</f>
        <v>B.4</v>
      </c>
      <c r="M17" s="100">
        <f ca="1">SUMIF(Y:Y,L17,G:G)/(SUMIF(Y:Y,L17,X:X))</f>
        <v>0</v>
      </c>
      <c r="N17" s="100" t="str">
        <f ca="1">HLOOKUP(M17*100,level_ref,2,TRUE)</f>
        <v>Level 1</v>
      </c>
      <c r="O17" s="100" t="str">
        <f ca="1">IF(ISERROR(N17),"",N17)</f>
        <v>Level 1</v>
      </c>
      <c r="P17" s="100">
        <f ca="1">HLOOKUP(M17*100,level_ref,3,TRUE)</f>
        <v>1</v>
      </c>
      <c r="Q17" s="100">
        <f ca="1">IF(ISERROR(P17),"",P17)</f>
        <v>1</v>
      </c>
      <c r="R17" s="100">
        <f ca="1">M17*5</f>
        <v>0</v>
      </c>
      <c r="S17" s="100"/>
      <c r="T17" s="100"/>
      <c r="U17" s="100" t="str">
        <f ca="1">IF(AND(C17&gt;4,VLOOKUP(A17,Assess_B_Reference,34,FALSE)&lt;&gt;8),LEFT(B17,3),"")</f>
        <v/>
      </c>
      <c r="V17" s="100">
        <f ca="1">VLOOKUP(A17,Weightings_Assessments,24,FALSE)</f>
        <v>0</v>
      </c>
      <c r="W17" s="100">
        <f ca="1">IF(VLOOKUP(A17,Assess_B_Reference,34,FALSE)=8,0,1)</f>
        <v>1</v>
      </c>
      <c r="X17" s="100">
        <f ca="1">W17*V17*4</f>
        <v>0</v>
      </c>
      <c r="Y17" s="75" t="str">
        <f ca="1">AG17&amp;U17</f>
        <v/>
      </c>
      <c r="Z17" s="74"/>
      <c r="AA17" s="74"/>
      <c r="AB17" s="74"/>
      <c r="AC17" s="74"/>
      <c r="AD17" s="81"/>
      <c r="AE17" s="81"/>
      <c r="AF17" s="81"/>
      <c r="AG17" s="77"/>
      <c r="AH17" s="81"/>
      <c r="AI17" s="77"/>
      <c r="AJ17" s="74"/>
      <c r="AK17" s="74"/>
      <c r="AL17" s="74"/>
      <c r="AM17" s="74"/>
      <c r="AN17" s="74"/>
      <c r="AO17" s="74"/>
      <c r="AP17" s="74"/>
      <c r="AQ17" s="74"/>
      <c r="AR17" s="74"/>
      <c r="AS17" s="74"/>
      <c r="AT17" s="74"/>
      <c r="AU17" s="74"/>
      <c r="AV17" s="74"/>
    </row>
    <row r="18" spans="1:48" s="75" customFormat="1" ht="75" x14ac:dyDescent="0.25">
      <c r="A18" s="67">
        <v>34</v>
      </c>
      <c r="B18" s="68" t="str">
        <f t="shared" si="0"/>
        <v>B.4.01</v>
      </c>
      <c r="C18" s="69">
        <f t="shared" si="1"/>
        <v>5</v>
      </c>
      <c r="D18" s="20"/>
      <c r="E18" s="86" t="str">
        <f t="shared" si="2"/>
        <v>B.4.01</v>
      </c>
      <c r="F18" s="71" t="str">
        <f t="shared" si="3"/>
        <v>Have you created a documented management assurance framework to help govern all aspects of the penetration test, ensuring that testing meets requirements and testing scope is documented in a comprehensive agreement, defined in a legally binding contact and signed off by all relevant parties before testing starts?</v>
      </c>
      <c r="G18" s="177" t="str">
        <f ca="1">VLOOKUP($A18,Assess_B_Reference,15,FALSE)</f>
        <v/>
      </c>
      <c r="H18" s="177">
        <f ca="1">(VLOOKUP(LEFT($B18,3),targets_lookup,5,FALSE))*VLOOKUP($A18,Weightings_Assessments,23,FALSE)</f>
        <v>2</v>
      </c>
      <c r="I18" s="71" t="str">
        <f ca="1">IF(VLOOKUP(A18,Assess_B_Reference,16,FALSE)=0,"",VLOOKUP(A18,Assess_B_Reference,16,FALSE))</f>
        <v/>
      </c>
      <c r="J18" s="69"/>
      <c r="K18" s="69"/>
      <c r="L18" s="69"/>
      <c r="M18" s="69"/>
      <c r="N18" s="69"/>
      <c r="O18" s="69"/>
      <c r="P18" s="69"/>
      <c r="Q18" s="69"/>
      <c r="R18" s="69"/>
      <c r="S18" s="69"/>
      <c r="T18" s="76"/>
      <c r="U18" s="100" t="str">
        <f ca="1">IF(AND(C18&gt;4,VLOOKUP(A18,Assess_B_Reference,34,FALSE)&lt;&gt;8),LEFT(B18,3),"")</f>
        <v>B.4</v>
      </c>
      <c r="V18" s="100">
        <f ca="1">VLOOKUP(A18,Weightings_Assessments,24,FALSE)</f>
        <v>1</v>
      </c>
      <c r="W18" s="100">
        <f ca="1">IF(VLOOKUP(A18,Assess_B_Reference,34,FALSE)=8,0,1)</f>
        <v>1</v>
      </c>
      <c r="X18" s="100">
        <f ca="1">W18*V18*4</f>
        <v>4</v>
      </c>
      <c r="Y18" s="75" t="str">
        <f ca="1">AG18&amp;U18</f>
        <v>B.4</v>
      </c>
      <c r="Z18" s="74"/>
      <c r="AA18" s="74"/>
      <c r="AB18" s="74"/>
      <c r="AC18" s="74"/>
      <c r="AD18" s="81"/>
      <c r="AE18" s="81"/>
      <c r="AF18" s="81"/>
      <c r="AG18" s="77"/>
      <c r="AH18" s="81"/>
      <c r="AI18" s="77"/>
      <c r="AJ18" s="74"/>
      <c r="AK18" s="74"/>
      <c r="AL18" s="74"/>
      <c r="AM18" s="74"/>
      <c r="AN18" s="74"/>
      <c r="AO18" s="74"/>
      <c r="AP18" s="74"/>
      <c r="AQ18" s="74"/>
      <c r="AR18" s="74"/>
      <c r="AS18" s="74"/>
      <c r="AT18" s="74"/>
      <c r="AU18" s="74"/>
      <c r="AV18" s="74"/>
    </row>
    <row r="19" spans="1:48" s="75" customFormat="1" ht="105" x14ac:dyDescent="0.25">
      <c r="A19" s="67">
        <v>35</v>
      </c>
      <c r="B19" s="68" t="str">
        <f t="shared" si="0"/>
        <v/>
      </c>
      <c r="C19" s="69">
        <f t="shared" si="1"/>
        <v>3</v>
      </c>
      <c r="D19" s="20"/>
      <c r="E19" s="86" t="str">
        <f t="shared" si="2"/>
        <v/>
      </c>
      <c r="F19" s="147" t="str">
        <f t="shared" si="3"/>
        <v>The management assurance framework should provide assurance to stakeholders that: the objectives of penetration tests are achieved; contracts with service providers are defined, agreed, signed off and monitored; risks to your organisation (e.g. degradation or loss of services; disclosure of sensitive information) are kept to a minimum; changes to testing scope are managed effectively; and that any problems are resolved satisfactorily.</v>
      </c>
      <c r="G19" s="177"/>
      <c r="H19" s="177"/>
      <c r="I19" s="71"/>
      <c r="J19" s="69"/>
      <c r="K19" s="69"/>
      <c r="L19" s="69"/>
      <c r="M19" s="69"/>
      <c r="N19" s="69"/>
      <c r="O19" s="69"/>
      <c r="P19" s="69"/>
      <c r="Q19" s="69"/>
      <c r="R19" s="69"/>
      <c r="S19" s="69"/>
      <c r="T19" s="76"/>
      <c r="U19" s="76"/>
      <c r="V19" s="76"/>
      <c r="W19" s="76"/>
      <c r="X19" s="76"/>
      <c r="Z19" s="74"/>
      <c r="AA19" s="74"/>
      <c r="AB19" s="74"/>
      <c r="AC19" s="74"/>
      <c r="AD19" s="81"/>
      <c r="AE19" s="81"/>
      <c r="AF19" s="81"/>
      <c r="AG19" s="77"/>
      <c r="AH19" s="81"/>
      <c r="AI19" s="77"/>
      <c r="AJ19" s="74"/>
      <c r="AK19" s="74"/>
      <c r="AL19" s="74"/>
      <c r="AM19" s="74"/>
      <c r="AN19" s="74"/>
      <c r="AO19" s="74"/>
      <c r="AP19" s="74"/>
      <c r="AQ19" s="74"/>
      <c r="AR19" s="74"/>
      <c r="AS19" s="74"/>
      <c r="AT19" s="74"/>
      <c r="AU19" s="74"/>
      <c r="AV19" s="74"/>
    </row>
    <row r="20" spans="1:48" s="75" customFormat="1" ht="165" x14ac:dyDescent="0.25">
      <c r="A20" s="67">
        <v>36</v>
      </c>
      <c r="B20" s="68" t="str">
        <f t="shared" si="0"/>
        <v/>
      </c>
      <c r="C20" s="69">
        <f t="shared" si="1"/>
        <v>3</v>
      </c>
      <c r="D20" s="20"/>
      <c r="E20" s="86" t="str">
        <f t="shared" si="2"/>
        <v/>
      </c>
      <c r="F20" s="147" t="str">
        <f t="shared" si="3"/>
        <v>Your assurance process should help you to effectively monitor requirements definitions, planning and preparation, as well as performance of the actual testing; and define control processes over all important management aspects of testing. The penetration testing contract should specify explicit exclusions (e.g. systems that are out of scope); any technical and operational constraints; roles and responsibilities for all parties’ concerned; and specific legal / regulatory requirements; together with specific timings and checkpoints; a problem escalation process; post-test corrective action strategy and action plan development; supported by agreed pricing and terms of business.</v>
      </c>
      <c r="G20" s="177"/>
      <c r="H20" s="177"/>
      <c r="I20" s="71"/>
      <c r="J20" s="69"/>
      <c r="K20" s="69"/>
      <c r="L20" s="69"/>
      <c r="M20" s="69"/>
      <c r="N20" s="69"/>
      <c r="O20" s="69"/>
      <c r="P20" s="69"/>
      <c r="Q20" s="69"/>
      <c r="R20" s="69"/>
      <c r="S20" s="69"/>
      <c r="T20" s="76"/>
      <c r="U20" s="76"/>
      <c r="V20" s="76"/>
      <c r="W20" s="76"/>
      <c r="X20" s="76"/>
      <c r="Z20" s="74"/>
      <c r="AA20" s="74"/>
      <c r="AB20" s="74"/>
      <c r="AC20" s="74"/>
      <c r="AD20" s="81"/>
      <c r="AE20" s="81"/>
      <c r="AF20" s="81"/>
      <c r="AG20" s="77"/>
      <c r="AH20" s="81"/>
      <c r="AI20" s="77"/>
      <c r="AJ20" s="74"/>
      <c r="AK20" s="74"/>
      <c r="AL20" s="74"/>
      <c r="AM20" s="74"/>
      <c r="AN20" s="74"/>
      <c r="AO20" s="74"/>
      <c r="AP20" s="74"/>
      <c r="AQ20" s="74"/>
      <c r="AR20" s="74"/>
      <c r="AS20" s="74"/>
      <c r="AT20" s="74"/>
      <c r="AU20" s="74"/>
      <c r="AV20" s="74"/>
    </row>
    <row r="21" spans="1:48" s="75" customFormat="1" ht="30" customHeight="1" x14ac:dyDescent="0.25">
      <c r="A21" s="67">
        <v>37</v>
      </c>
      <c r="B21" s="68" t="str">
        <f t="shared" si="0"/>
        <v>B.5</v>
      </c>
      <c r="C21" s="69">
        <f t="shared" si="1"/>
        <v>2</v>
      </c>
      <c r="D21" s="20"/>
      <c r="E21" s="105" t="str">
        <f t="shared" si="2"/>
        <v>Step 5</v>
      </c>
      <c r="F21" s="102" t="str">
        <f t="shared" si="3"/>
        <v>Implement management control processes</v>
      </c>
      <c r="G21" s="175" t="str">
        <f ca="1">"Maturity level:  "&amp;O21</f>
        <v>Maturity level:  Level 1</v>
      </c>
      <c r="H21" s="176"/>
      <c r="I21" s="153"/>
      <c r="J21" s="101"/>
      <c r="K21" s="101"/>
      <c r="L21" s="101" t="str">
        <f>TEXT(B21,"0.0")</f>
        <v>B.5</v>
      </c>
      <c r="M21" s="100">
        <f ca="1">SUMIF(Y:Y,L21,G:G)/(SUMIF(Y:Y,L21,X:X))</f>
        <v>0</v>
      </c>
      <c r="N21" s="100" t="str">
        <f ca="1">HLOOKUP(M21*100,level_ref,2,TRUE)</f>
        <v>Level 1</v>
      </c>
      <c r="O21" s="100" t="str">
        <f ca="1">IF(ISERROR(N21),"",N21)</f>
        <v>Level 1</v>
      </c>
      <c r="P21" s="100">
        <f ca="1">HLOOKUP(M21*100,level_ref,3,TRUE)</f>
        <v>1</v>
      </c>
      <c r="Q21" s="100">
        <f ca="1">IF(ISERROR(P21),"",P21)</f>
        <v>1</v>
      </c>
      <c r="R21" s="100">
        <f ca="1">M21*5</f>
        <v>0</v>
      </c>
      <c r="S21" s="100"/>
      <c r="T21" s="100"/>
      <c r="U21" s="100" t="str">
        <f ca="1">IF(AND(C21&gt;4,VLOOKUP(A21,Assess_B_Reference,34,FALSE)&lt;&gt;8),LEFT(B21,3),"")</f>
        <v/>
      </c>
      <c r="V21" s="100">
        <f ca="1">VLOOKUP(A21,Weightings_Assessments,24,FALSE)</f>
        <v>0</v>
      </c>
      <c r="W21" s="100">
        <f ca="1">IF(VLOOKUP(A21,Assess_B_Reference,34,FALSE)=8,0,1)</f>
        <v>1</v>
      </c>
      <c r="X21" s="100">
        <f ca="1">W21*V21*4</f>
        <v>0</v>
      </c>
      <c r="Y21" s="75" t="str">
        <f ca="1">AG21&amp;U21</f>
        <v/>
      </c>
      <c r="Z21" s="74"/>
      <c r="AA21" s="74"/>
      <c r="AB21" s="74"/>
      <c r="AC21" s="74"/>
      <c r="AD21" s="81"/>
      <c r="AE21" s="81"/>
      <c r="AF21" s="81"/>
      <c r="AG21" s="77"/>
      <c r="AH21" s="81"/>
      <c r="AI21" s="77"/>
      <c r="AJ21" s="74"/>
      <c r="AK21" s="74"/>
      <c r="AL21" s="74"/>
      <c r="AM21" s="74"/>
      <c r="AN21" s="74"/>
      <c r="AO21" s="74"/>
      <c r="AP21" s="74"/>
      <c r="AQ21" s="74"/>
      <c r="AR21" s="74"/>
      <c r="AS21" s="74"/>
      <c r="AT21" s="74"/>
      <c r="AU21" s="74"/>
      <c r="AV21" s="74"/>
    </row>
    <row r="22" spans="1:48" s="75" customFormat="1" ht="30" x14ac:dyDescent="0.25">
      <c r="A22" s="67">
        <v>38</v>
      </c>
      <c r="B22" s="68" t="str">
        <f t="shared" si="0"/>
        <v>B.5.01</v>
      </c>
      <c r="C22" s="69">
        <f t="shared" si="1"/>
        <v>5</v>
      </c>
      <c r="D22" s="20"/>
      <c r="E22" s="86" t="str">
        <f t="shared" si="2"/>
        <v>B.5.01</v>
      </c>
      <c r="F22" s="71" t="str">
        <f t="shared" si="3"/>
        <v>Have you implemented effective risk, change and problem management processes that apply to all aspects of penetration testing?</v>
      </c>
      <c r="G22" s="177" t="str">
        <f ca="1">VLOOKUP($A22,Assess_B_Reference,15,FALSE)</f>
        <v/>
      </c>
      <c r="H22" s="177">
        <f ca="1">(VLOOKUP(LEFT($B22,3),targets_lookup,5,FALSE))*VLOOKUP($A22,Weightings_Assessments,23,FALSE)</f>
        <v>2</v>
      </c>
      <c r="I22" s="71" t="str">
        <f ca="1">IF(VLOOKUP(A22,Assess_B_Reference,16,FALSE)=0,"",VLOOKUP(A22,Assess_B_Reference,16,FALSE))</f>
        <v/>
      </c>
      <c r="J22" s="69"/>
      <c r="K22" s="69"/>
      <c r="L22" s="69"/>
      <c r="M22" s="69"/>
      <c r="N22" s="69"/>
      <c r="O22" s="69"/>
      <c r="P22" s="69"/>
      <c r="Q22" s="69"/>
      <c r="R22" s="69"/>
      <c r="S22" s="69"/>
      <c r="T22" s="76"/>
      <c r="U22" s="100" t="str">
        <f ca="1">IF(AND(C22&gt;4,VLOOKUP(A22,Assess_B_Reference,34,FALSE)&lt;&gt;8),LEFT(B22,3),"")</f>
        <v>B.5</v>
      </c>
      <c r="V22" s="100">
        <f ca="1">VLOOKUP(A22,Weightings_Assessments,24,FALSE)</f>
        <v>1</v>
      </c>
      <c r="W22" s="100">
        <f ca="1">IF(VLOOKUP(A22,Assess_B_Reference,34,FALSE)=8,0,1)</f>
        <v>1</v>
      </c>
      <c r="X22" s="100">
        <f ca="1">W22*V22*4</f>
        <v>4</v>
      </c>
      <c r="Y22" s="75" t="str">
        <f ca="1">AG22&amp;U22</f>
        <v>B.5</v>
      </c>
      <c r="Z22" s="74"/>
      <c r="AA22" s="74"/>
      <c r="AB22" s="74"/>
      <c r="AC22" s="74"/>
      <c r="AD22" s="81"/>
      <c r="AE22" s="81"/>
      <c r="AF22" s="81"/>
      <c r="AG22" s="77"/>
      <c r="AH22" s="81"/>
      <c r="AI22" s="77"/>
      <c r="AJ22" s="74"/>
      <c r="AK22" s="74"/>
      <c r="AL22" s="74"/>
      <c r="AM22" s="74"/>
      <c r="AN22" s="74"/>
      <c r="AO22" s="74"/>
      <c r="AP22" s="74"/>
      <c r="AQ22" s="74"/>
      <c r="AR22" s="74"/>
      <c r="AS22" s="74"/>
      <c r="AT22" s="74"/>
      <c r="AU22" s="74"/>
      <c r="AV22" s="74"/>
    </row>
    <row r="23" spans="1:48" s="75" customFormat="1" ht="180" x14ac:dyDescent="0.25">
      <c r="A23" s="67">
        <v>39</v>
      </c>
      <c r="B23" s="68" t="str">
        <f t="shared" si="0"/>
        <v/>
      </c>
      <c r="C23" s="69">
        <f t="shared" si="1"/>
        <v>3</v>
      </c>
      <c r="D23" s="20"/>
      <c r="E23" s="86" t="str">
        <f t="shared" si="2"/>
        <v/>
      </c>
      <c r="F23" s="147" t="str">
        <f t="shared" si="3"/>
        <v>Methods of keeping risks to a minimum include: carrying out planning in advance; having a clear definition of scope; using predefined escalation procedures; supported by the use of individual testers with relevant experience and qualifications, working for certified organisations. An effective change management process should: cover changes to the scope of the penetration test, organisational controls and the individuals on the testing team; ensure that all parties involved adhere to the process and that changes to penetration testing are made quickly and efficiently. An effective problem management process should cover: tests not working as planned; problems caused as a result of the penetration testing; breaches of contract or codes of conduct; and effective, timely, problem resolution.</v>
      </c>
      <c r="G23" s="177"/>
      <c r="H23" s="177"/>
      <c r="I23" s="71"/>
      <c r="J23" s="69"/>
      <c r="K23" s="69"/>
      <c r="L23" s="69"/>
      <c r="M23" s="69"/>
      <c r="N23" s="69"/>
      <c r="O23" s="69"/>
      <c r="P23" s="69"/>
      <c r="Q23" s="69"/>
      <c r="R23" s="69"/>
      <c r="S23" s="69"/>
      <c r="T23" s="76"/>
      <c r="U23" s="76"/>
      <c r="V23" s="76"/>
      <c r="W23" s="76"/>
      <c r="X23" s="76"/>
      <c r="Z23" s="74"/>
      <c r="AA23" s="74"/>
      <c r="AB23" s="74"/>
      <c r="AC23" s="74"/>
      <c r="AD23" s="81"/>
      <c r="AE23" s="81"/>
      <c r="AF23" s="81"/>
      <c r="AG23" s="77"/>
      <c r="AH23" s="81"/>
      <c r="AI23" s="77"/>
      <c r="AJ23" s="74"/>
      <c r="AK23" s="74"/>
      <c r="AL23" s="74"/>
      <c r="AM23" s="74"/>
      <c r="AN23" s="74"/>
      <c r="AO23" s="74"/>
      <c r="AP23" s="74"/>
      <c r="AQ23" s="74"/>
      <c r="AR23" s="74"/>
      <c r="AS23" s="74"/>
      <c r="AT23" s="74"/>
      <c r="AU23" s="74"/>
      <c r="AV23" s="74"/>
    </row>
    <row r="24" spans="1:48" s="75" customFormat="1" ht="30" customHeight="1" x14ac:dyDescent="0.25">
      <c r="A24" s="67">
        <v>40</v>
      </c>
      <c r="B24" s="68" t="str">
        <f t="shared" si="0"/>
        <v>B.6</v>
      </c>
      <c r="C24" s="69">
        <f t="shared" si="1"/>
        <v>2</v>
      </c>
      <c r="D24" s="20"/>
      <c r="E24" s="105" t="str">
        <f t="shared" si="2"/>
        <v>Step 6</v>
      </c>
      <c r="F24" s="102" t="str">
        <f t="shared" si="3"/>
        <v>Use an effective testing methodology</v>
      </c>
      <c r="G24" s="175" t="str">
        <f ca="1">"Maturity level:  "&amp;O24</f>
        <v>Maturity level:  Level 1</v>
      </c>
      <c r="H24" s="176"/>
      <c r="I24" s="153"/>
      <c r="J24" s="101"/>
      <c r="K24" s="101"/>
      <c r="L24" s="101" t="str">
        <f>TEXT(B24,"0.0")</f>
        <v>B.6</v>
      </c>
      <c r="M24" s="100">
        <f ca="1">SUMIF(Y:Y,L24,G:G)/(SUMIF(Y:Y,L24,X:X))</f>
        <v>0</v>
      </c>
      <c r="N24" s="100" t="str">
        <f ca="1">HLOOKUP(M24*100,level_ref,2,TRUE)</f>
        <v>Level 1</v>
      </c>
      <c r="O24" s="100" t="str">
        <f ca="1">IF(ISERROR(N24),"",N24)</f>
        <v>Level 1</v>
      </c>
      <c r="P24" s="100">
        <f ca="1">HLOOKUP(M24*100,level_ref,3,TRUE)</f>
        <v>1</v>
      </c>
      <c r="Q24" s="100">
        <f ca="1">IF(ISERROR(P24),"",P24)</f>
        <v>1</v>
      </c>
      <c r="R24" s="100">
        <f ca="1">M24*5</f>
        <v>0</v>
      </c>
      <c r="S24" s="100"/>
      <c r="T24" s="100"/>
      <c r="U24" s="100" t="str">
        <f ca="1">IF(AND(C24&gt;4,VLOOKUP(A24,Assess_B_Reference,34,FALSE)&lt;&gt;8),LEFT(B24,3),"")</f>
        <v/>
      </c>
      <c r="V24" s="100">
        <f ca="1">VLOOKUP(A24,Weightings_Assessments,24,FALSE)</f>
        <v>0</v>
      </c>
      <c r="W24" s="100">
        <f ca="1">IF(VLOOKUP(A24,Assess_B_Reference,34,FALSE)=8,0,1)</f>
        <v>1</v>
      </c>
      <c r="X24" s="100">
        <f ca="1">W24*V24*4</f>
        <v>0</v>
      </c>
      <c r="Y24" s="75" t="str">
        <f ca="1">AG24&amp;U24</f>
        <v/>
      </c>
      <c r="Z24" s="74"/>
      <c r="AA24" s="74"/>
      <c r="AB24" s="74"/>
      <c r="AC24" s="74"/>
      <c r="AD24" s="81"/>
      <c r="AE24" s="81"/>
      <c r="AF24" s="81"/>
      <c r="AG24" s="77"/>
      <c r="AH24" s="81"/>
      <c r="AI24" s="77"/>
      <c r="AJ24" s="74"/>
      <c r="AK24" s="74"/>
      <c r="AL24" s="74"/>
      <c r="AM24" s="74"/>
      <c r="AN24" s="74"/>
      <c r="AO24" s="74"/>
      <c r="AP24" s="74"/>
      <c r="AQ24" s="74"/>
      <c r="AR24" s="74"/>
      <c r="AS24" s="74"/>
      <c r="AT24" s="74"/>
      <c r="AU24" s="74"/>
      <c r="AV24" s="74"/>
    </row>
    <row r="25" spans="1:48" s="75" customFormat="1" ht="30" x14ac:dyDescent="0.25">
      <c r="A25" s="67">
        <v>41</v>
      </c>
      <c r="B25" s="68" t="str">
        <f t="shared" si="0"/>
        <v>B.6.01</v>
      </c>
      <c r="C25" s="69">
        <f t="shared" si="1"/>
        <v>5</v>
      </c>
      <c r="D25" s="20"/>
      <c r="E25" s="86" t="str">
        <f t="shared" si="2"/>
        <v>B.6.01</v>
      </c>
      <c r="F25" s="71" t="str">
        <f t="shared" si="3"/>
        <v>When conducting penetration tests do you use a systematic, structured testing methodology?</v>
      </c>
      <c r="G25" s="177" t="str">
        <f ca="1">VLOOKUP($A25,Assess_B_Reference,15,FALSE)</f>
        <v/>
      </c>
      <c r="H25" s="177">
        <f ca="1">(VLOOKUP(LEFT($B25,3),targets_lookup,5,FALSE))*VLOOKUP($A25,Weightings_Assessments,23,FALSE)</f>
        <v>2</v>
      </c>
      <c r="I25" s="71" t="str">
        <f ca="1">IF(VLOOKUP(A25,Assess_B_Reference,16,FALSE)=0,"",VLOOKUP(A25,Assess_B_Reference,16,FALSE))</f>
        <v/>
      </c>
      <c r="J25" s="69"/>
      <c r="K25" s="69"/>
      <c r="L25" s="69"/>
      <c r="M25" s="69"/>
      <c r="N25" s="69"/>
      <c r="O25" s="69"/>
      <c r="P25" s="69"/>
      <c r="Q25" s="69"/>
      <c r="R25" s="69"/>
      <c r="S25" s="69"/>
      <c r="T25" s="76"/>
      <c r="U25" s="100" t="str">
        <f ca="1">IF(AND(C25&gt;4,VLOOKUP(A25,Assess_B_Reference,34,FALSE)&lt;&gt;8),LEFT(B25,3),"")</f>
        <v>B.6</v>
      </c>
      <c r="V25" s="100">
        <f ca="1">VLOOKUP(A25,Weightings_Assessments,24,FALSE)</f>
        <v>1</v>
      </c>
      <c r="W25" s="100">
        <f ca="1">IF(VLOOKUP(A25,Assess_B_Reference,34,FALSE)=8,0,1)</f>
        <v>1</v>
      </c>
      <c r="X25" s="100">
        <f ca="1">W25*V25*4</f>
        <v>4</v>
      </c>
      <c r="Y25" s="75" t="str">
        <f ca="1">AG25&amp;U25</f>
        <v>B.6</v>
      </c>
      <c r="Z25" s="74"/>
      <c r="AA25" s="74"/>
      <c r="AB25" s="74"/>
      <c r="AC25" s="74"/>
      <c r="AD25" s="81"/>
      <c r="AE25" s="81"/>
      <c r="AF25" s="81"/>
      <c r="AG25" s="77"/>
      <c r="AH25" s="81"/>
      <c r="AI25" s="77"/>
      <c r="AJ25" s="74"/>
      <c r="AK25" s="74"/>
      <c r="AL25" s="74"/>
      <c r="AM25" s="74"/>
      <c r="AN25" s="74"/>
      <c r="AO25" s="74"/>
      <c r="AP25" s="74"/>
      <c r="AQ25" s="74"/>
      <c r="AR25" s="74"/>
      <c r="AS25" s="74"/>
      <c r="AT25" s="74"/>
      <c r="AU25" s="74"/>
      <c r="AV25" s="74"/>
    </row>
    <row r="26" spans="1:48" s="75" customFormat="1" ht="90" x14ac:dyDescent="0.25">
      <c r="A26" s="67">
        <v>42</v>
      </c>
      <c r="B26" s="68" t="str">
        <f t="shared" si="0"/>
        <v/>
      </c>
      <c r="C26" s="69">
        <f t="shared" si="1"/>
        <v>3</v>
      </c>
      <c r="D26" s="20"/>
      <c r="E26" s="86" t="str">
        <f t="shared" si="2"/>
        <v/>
      </c>
      <c r="F26" s="147" t="str">
        <f t="shared" si="3"/>
        <v>A systematic, structured testing methodology should: be based on proven approaches designed by authoritative publicly available sources; detail specific evaluation or testing criteria; adhere to a standard common language and scope for performing penetration testing; and specify a required approach (or approaches) for carrying out all stages of a comprehensive end-to-end penetration test.</v>
      </c>
      <c r="G26" s="177"/>
      <c r="H26" s="177"/>
      <c r="I26" s="71"/>
      <c r="J26" s="69"/>
      <c r="K26" s="69"/>
      <c r="L26" s="69"/>
      <c r="M26" s="69"/>
      <c r="N26" s="69"/>
      <c r="O26" s="69"/>
      <c r="P26" s="69"/>
      <c r="Q26" s="69"/>
      <c r="R26" s="69"/>
      <c r="S26" s="69"/>
      <c r="T26" s="76"/>
      <c r="U26" s="76"/>
      <c r="V26" s="76"/>
      <c r="W26" s="76"/>
      <c r="X26" s="76"/>
      <c r="Z26" s="74"/>
      <c r="AA26" s="74"/>
      <c r="AB26" s="74"/>
      <c r="AC26" s="74"/>
      <c r="AD26" s="81"/>
      <c r="AE26" s="81"/>
      <c r="AF26" s="81"/>
      <c r="AG26" s="77"/>
      <c r="AH26" s="81"/>
      <c r="AI26" s="77"/>
      <c r="AJ26" s="74"/>
      <c r="AK26" s="74"/>
      <c r="AL26" s="74"/>
      <c r="AM26" s="74"/>
      <c r="AN26" s="74"/>
      <c r="AO26" s="74"/>
      <c r="AP26" s="74"/>
      <c r="AQ26" s="74"/>
      <c r="AR26" s="74"/>
      <c r="AS26" s="74"/>
      <c r="AT26" s="74"/>
      <c r="AU26" s="74"/>
      <c r="AV26" s="74"/>
    </row>
    <row r="27" spans="1:48" s="75" customFormat="1" ht="30" customHeight="1" x14ac:dyDescent="0.25">
      <c r="A27" s="67">
        <v>43</v>
      </c>
      <c r="B27" s="68" t="str">
        <f t="shared" si="0"/>
        <v>B.7</v>
      </c>
      <c r="C27" s="69">
        <f t="shared" si="1"/>
        <v>2</v>
      </c>
      <c r="D27" s="20"/>
      <c r="E27" s="105" t="str">
        <f t="shared" si="2"/>
        <v>Step 7</v>
      </c>
      <c r="F27" s="102" t="str">
        <f t="shared" si="3"/>
        <v>Conduct sufficient research and planning</v>
      </c>
      <c r="G27" s="175" t="str">
        <f ca="1">"Maturity level:  "&amp;O27</f>
        <v>Maturity level:  Level 1</v>
      </c>
      <c r="H27" s="176"/>
      <c r="I27" s="153"/>
      <c r="J27" s="101"/>
      <c r="K27" s="101"/>
      <c r="L27" s="101" t="str">
        <f>TEXT(B27,"0.0")</f>
        <v>B.7</v>
      </c>
      <c r="M27" s="100">
        <f ca="1">SUMIF(Y:Y,L27,G:G)/(SUMIF(Y:Y,L27,X:X))</f>
        <v>0</v>
      </c>
      <c r="N27" s="100" t="str">
        <f ca="1">HLOOKUP(M27*100,level_ref,2,TRUE)</f>
        <v>Level 1</v>
      </c>
      <c r="O27" s="100" t="str">
        <f ca="1">IF(ISERROR(N27),"",N27)</f>
        <v>Level 1</v>
      </c>
      <c r="P27" s="100">
        <f ca="1">HLOOKUP(M27*100,level_ref,3,TRUE)</f>
        <v>1</v>
      </c>
      <c r="Q27" s="100">
        <f ca="1">IF(ISERROR(P27),"",P27)</f>
        <v>1</v>
      </c>
      <c r="R27" s="100">
        <f ca="1">M27*5</f>
        <v>0</v>
      </c>
      <c r="S27" s="100"/>
      <c r="T27" s="100"/>
      <c r="U27" s="100" t="str">
        <f ca="1">IF(AND(C27&gt;4,VLOOKUP(A27,Assess_B_Reference,34,FALSE)&lt;&gt;8),LEFT(B27,3),"")</f>
        <v/>
      </c>
      <c r="V27" s="100">
        <f ca="1">VLOOKUP(A27,Weightings_Assessments,24,FALSE)</f>
        <v>0</v>
      </c>
      <c r="W27" s="100">
        <f ca="1">IF(VLOOKUP(A27,Assess_B_Reference,34,FALSE)=8,0,1)</f>
        <v>1</v>
      </c>
      <c r="X27" s="100">
        <f ca="1">W27*V27*4</f>
        <v>0</v>
      </c>
      <c r="Y27" s="75" t="str">
        <f ca="1">AG27&amp;U27</f>
        <v/>
      </c>
      <c r="Z27" s="74"/>
      <c r="AA27" s="74"/>
      <c r="AB27" s="74"/>
      <c r="AC27" s="74"/>
      <c r="AD27" s="81"/>
      <c r="AE27" s="81"/>
      <c r="AF27" s="81"/>
      <c r="AG27" s="77"/>
      <c r="AH27" s="81"/>
      <c r="AI27" s="77"/>
      <c r="AJ27" s="74"/>
      <c r="AK27" s="74"/>
      <c r="AL27" s="74"/>
      <c r="AM27" s="74"/>
      <c r="AN27" s="74"/>
      <c r="AO27" s="74"/>
      <c r="AP27" s="74"/>
      <c r="AQ27" s="74"/>
      <c r="AR27" s="74"/>
      <c r="AS27" s="74"/>
      <c r="AT27" s="74"/>
      <c r="AU27" s="74"/>
      <c r="AV27" s="74"/>
    </row>
    <row r="28" spans="1:48" s="75" customFormat="1" ht="60" x14ac:dyDescent="0.25">
      <c r="A28" s="67">
        <v>44</v>
      </c>
      <c r="B28" s="68" t="str">
        <f t="shared" si="0"/>
        <v>B.7.01</v>
      </c>
      <c r="C28" s="69">
        <f t="shared" si="1"/>
        <v>5</v>
      </c>
      <c r="D28" s="20"/>
      <c r="E28" s="86" t="str">
        <f t="shared" si="2"/>
        <v>B.7.01</v>
      </c>
      <c r="F28" s="71" t="str">
        <f t="shared" si="3"/>
        <v>Are detailed test plans produced to provide guidelines for the penetration testing to be undertaken, supported by research to imitate the research activities that a potential attacker could undertake to find out as much about the target environment and how it works as possible?</v>
      </c>
      <c r="G28" s="177" t="str">
        <f ca="1">VLOOKUP($A28,Assess_B_Reference,15,FALSE)</f>
        <v/>
      </c>
      <c r="H28" s="177">
        <f ca="1">(VLOOKUP(LEFT($B28,3),targets_lookup,5,FALSE))*VLOOKUP($A28,Weightings_Assessments,23,FALSE)</f>
        <v>2</v>
      </c>
      <c r="I28" s="71" t="str">
        <f ca="1">IF(VLOOKUP(A28,Assess_B_Reference,16,FALSE)=0,"",VLOOKUP(A28,Assess_B_Reference,16,FALSE))</f>
        <v/>
      </c>
      <c r="J28" s="69"/>
      <c r="K28" s="69"/>
      <c r="L28" s="69"/>
      <c r="M28" s="69"/>
      <c r="N28" s="69"/>
      <c r="O28" s="69"/>
      <c r="P28" s="69"/>
      <c r="Q28" s="69"/>
      <c r="R28" s="69"/>
      <c r="S28" s="69"/>
      <c r="T28" s="76"/>
      <c r="U28" s="100" t="str">
        <f ca="1">IF(AND(C28&gt;4,VLOOKUP(A28,Assess_B_Reference,34,FALSE)&lt;&gt;8),LEFT(B28,3),"")</f>
        <v>B.7</v>
      </c>
      <c r="V28" s="100">
        <f ca="1">VLOOKUP(A28,Weightings_Assessments,24,FALSE)</f>
        <v>1</v>
      </c>
      <c r="W28" s="100">
        <f ca="1">IF(VLOOKUP(A28,Assess_B_Reference,34,FALSE)=8,0,1)</f>
        <v>1</v>
      </c>
      <c r="X28" s="100">
        <f ca="1">W28*V28*4</f>
        <v>4</v>
      </c>
      <c r="Y28" s="75" t="str">
        <f ca="1">AG28&amp;U28</f>
        <v>B.7</v>
      </c>
      <c r="Z28" s="74"/>
      <c r="AA28" s="74"/>
      <c r="AB28" s="74"/>
      <c r="AC28" s="74"/>
      <c r="AD28" s="81"/>
      <c r="AE28" s="81"/>
      <c r="AF28" s="81"/>
      <c r="AG28" s="77"/>
      <c r="AH28" s="81"/>
      <c r="AI28" s="77"/>
      <c r="AJ28" s="74"/>
      <c r="AK28" s="74"/>
      <c r="AL28" s="74"/>
      <c r="AM28" s="74"/>
      <c r="AN28" s="74"/>
      <c r="AO28" s="74"/>
      <c r="AP28" s="74"/>
      <c r="AQ28" s="74"/>
      <c r="AR28" s="74"/>
      <c r="AS28" s="74"/>
      <c r="AT28" s="74"/>
      <c r="AU28" s="74"/>
      <c r="AV28" s="74"/>
    </row>
    <row r="29" spans="1:48" s="75" customFormat="1" ht="75" x14ac:dyDescent="0.25">
      <c r="A29" s="67">
        <v>45</v>
      </c>
      <c r="B29" s="68" t="str">
        <f t="shared" si="0"/>
        <v/>
      </c>
      <c r="C29" s="69">
        <f t="shared" si="1"/>
        <v>3</v>
      </c>
      <c r="D29" s="20"/>
      <c r="E29" s="86" t="str">
        <f t="shared" si="2"/>
        <v/>
      </c>
      <c r="F29" s="147" t="str">
        <f t="shared" si="3"/>
        <v>Detailed test plans should be produced by your testing service provider; agreed with your organisation prior to any testing commencing; specify what will actually be done during the test itself; and help to assure the process for a proper security test without creating misunderstandings, misconceptions, or false expectations.</v>
      </c>
      <c r="G29" s="177"/>
      <c r="H29" s="177"/>
      <c r="I29" s="71"/>
      <c r="J29" s="69"/>
      <c r="K29" s="69"/>
      <c r="L29" s="69"/>
      <c r="M29" s="69"/>
      <c r="N29" s="69"/>
      <c r="O29" s="69"/>
      <c r="P29" s="69"/>
      <c r="Q29" s="69"/>
      <c r="R29" s="69"/>
      <c r="S29" s="69"/>
      <c r="T29" s="76"/>
      <c r="U29" s="76"/>
      <c r="V29" s="76"/>
      <c r="W29" s="76"/>
      <c r="X29" s="76"/>
      <c r="Z29" s="74"/>
      <c r="AA29" s="74"/>
      <c r="AB29" s="74"/>
      <c r="AC29" s="74"/>
      <c r="AD29" s="81"/>
      <c r="AE29" s="81"/>
      <c r="AF29" s="81"/>
      <c r="AG29" s="77"/>
      <c r="AH29" s="81"/>
      <c r="AI29" s="77"/>
      <c r="AJ29" s="74"/>
      <c r="AK29" s="74"/>
      <c r="AL29" s="74"/>
      <c r="AM29" s="74"/>
      <c r="AN29" s="74"/>
      <c r="AO29" s="74"/>
      <c r="AP29" s="74"/>
      <c r="AQ29" s="74"/>
      <c r="AR29" s="74"/>
      <c r="AS29" s="74"/>
      <c r="AT29" s="74"/>
      <c r="AU29" s="74"/>
      <c r="AV29" s="74"/>
    </row>
    <row r="30" spans="1:48" s="75" customFormat="1" ht="30" customHeight="1" x14ac:dyDescent="0.25">
      <c r="A30" s="67">
        <v>46</v>
      </c>
      <c r="B30" s="68" t="str">
        <f t="shared" si="0"/>
        <v>B.8</v>
      </c>
      <c r="C30" s="69">
        <f t="shared" si="1"/>
        <v>2</v>
      </c>
      <c r="D30" s="20"/>
      <c r="E30" s="105" t="str">
        <f t="shared" si="2"/>
        <v>Step 8</v>
      </c>
      <c r="F30" s="102" t="str">
        <f t="shared" si="3"/>
        <v>Identify and exploit vulnerabilities</v>
      </c>
      <c r="G30" s="175" t="str">
        <f ca="1">"Maturity level:  "&amp;O30</f>
        <v>Maturity level:  Level 1</v>
      </c>
      <c r="H30" s="176"/>
      <c r="I30" s="153"/>
      <c r="J30" s="101"/>
      <c r="K30" s="101"/>
      <c r="L30" s="101" t="str">
        <f>TEXT(B30,"0.0")</f>
        <v>B.8</v>
      </c>
      <c r="M30" s="100">
        <f ca="1">SUMIF(Y:Y,L30,G:G)/(SUMIF(Y:Y,L30,X:X))</f>
        <v>0</v>
      </c>
      <c r="N30" s="100" t="str">
        <f ca="1">HLOOKUP(M30*100,level_ref,2,TRUE)</f>
        <v>Level 1</v>
      </c>
      <c r="O30" s="100" t="str">
        <f ca="1">IF(ISERROR(N30),"",N30)</f>
        <v>Level 1</v>
      </c>
      <c r="P30" s="100">
        <f ca="1">HLOOKUP(M30*100,level_ref,3,TRUE)</f>
        <v>1</v>
      </c>
      <c r="Q30" s="100">
        <f ca="1">IF(ISERROR(P30),"",P30)</f>
        <v>1</v>
      </c>
      <c r="R30" s="100">
        <f ca="1">M30*5</f>
        <v>0</v>
      </c>
      <c r="S30" s="100"/>
      <c r="T30" s="100"/>
      <c r="U30" s="100" t="str">
        <f ca="1">IF(AND(C30&gt;4,VLOOKUP(A30,Assess_B_Reference,34,FALSE)&lt;&gt;8),LEFT(B30,3),"")</f>
        <v/>
      </c>
      <c r="V30" s="100">
        <f ca="1">VLOOKUP(A30,Weightings_Assessments,24,FALSE)</f>
        <v>0</v>
      </c>
      <c r="W30" s="100">
        <f ca="1">IF(VLOOKUP(A30,Assess_B_Reference,34,FALSE)=8,0,1)</f>
        <v>1</v>
      </c>
      <c r="X30" s="100">
        <f ca="1">W30*V30*4</f>
        <v>0</v>
      </c>
      <c r="Y30" s="75" t="str">
        <f ca="1">AG30&amp;U30</f>
        <v/>
      </c>
      <c r="Z30" s="74"/>
      <c r="AA30" s="74"/>
      <c r="AB30" s="74"/>
      <c r="AC30" s="74"/>
      <c r="AD30" s="81"/>
      <c r="AE30" s="81"/>
      <c r="AF30" s="81"/>
      <c r="AG30" s="77"/>
      <c r="AH30" s="81"/>
      <c r="AI30" s="77"/>
      <c r="AJ30" s="74"/>
      <c r="AK30" s="74"/>
      <c r="AL30" s="74"/>
      <c r="AM30" s="74"/>
      <c r="AN30" s="74"/>
      <c r="AO30" s="74"/>
      <c r="AP30" s="74"/>
      <c r="AQ30" s="74"/>
      <c r="AR30" s="74"/>
      <c r="AS30" s="74"/>
      <c r="AT30" s="74"/>
      <c r="AU30" s="74"/>
      <c r="AV30" s="74"/>
    </row>
    <row r="31" spans="1:48" s="75" customFormat="1" ht="45" x14ac:dyDescent="0.25">
      <c r="A31" s="67">
        <v>47</v>
      </c>
      <c r="B31" s="68" t="str">
        <f t="shared" si="0"/>
        <v>B.8.01</v>
      </c>
      <c r="C31" s="69">
        <f t="shared" si="1"/>
        <v>5</v>
      </c>
      <c r="D31" s="20"/>
      <c r="E31" s="86" t="str">
        <f t="shared" si="2"/>
        <v>B.8.01</v>
      </c>
      <c r="F31" s="71" t="str">
        <f t="shared" si="3"/>
        <v>Does penetration testing include testers identifying a range of potential vulnerabilities in target systems, then trying to exploit the vulnerabilities identified and actually penetrate the target system?</v>
      </c>
      <c r="G31" s="177" t="str">
        <f ca="1">VLOOKUP($A31,Assess_B_Reference,15,FALSE)</f>
        <v/>
      </c>
      <c r="H31" s="177">
        <f ca="1">(VLOOKUP(LEFT($B31,3),targets_lookup,5,FALSE))*VLOOKUP($A31,Weightings_Assessments,23,FALSE)</f>
        <v>2</v>
      </c>
      <c r="I31" s="71" t="str">
        <f ca="1">IF(VLOOKUP(A31,Assess_B_Reference,16,FALSE)=0,"",VLOOKUP(A31,Assess_B_Reference,16,FALSE))</f>
        <v/>
      </c>
      <c r="J31" s="69"/>
      <c r="K31" s="69"/>
      <c r="L31" s="69"/>
      <c r="M31" s="69"/>
      <c r="N31" s="69"/>
      <c r="O31" s="69"/>
      <c r="P31" s="69"/>
      <c r="Q31" s="69"/>
      <c r="R31" s="69"/>
      <c r="S31" s="69"/>
      <c r="T31" s="76"/>
      <c r="U31" s="100" t="str">
        <f ca="1">IF(AND(C31&gt;4,VLOOKUP(A31,Assess_B_Reference,34,FALSE)&lt;&gt;8),LEFT(B31,3),"")</f>
        <v>B.8</v>
      </c>
      <c r="V31" s="100">
        <f ca="1">VLOOKUP(A31,Weightings_Assessments,24,FALSE)</f>
        <v>1</v>
      </c>
      <c r="W31" s="100">
        <f ca="1">IF(VLOOKUP(A31,Assess_B_Reference,34,FALSE)=8,0,1)</f>
        <v>1</v>
      </c>
      <c r="X31" s="100">
        <f ca="1">W31*V31*4</f>
        <v>4</v>
      </c>
      <c r="Y31" s="75" t="str">
        <f ca="1">AG31&amp;U31</f>
        <v>B.8</v>
      </c>
      <c r="Z31" s="74"/>
      <c r="AA31" s="74"/>
      <c r="AB31" s="74"/>
      <c r="AC31" s="74"/>
      <c r="AD31" s="81"/>
      <c r="AE31" s="81"/>
      <c r="AF31" s="81"/>
      <c r="AG31" s="77"/>
      <c r="AH31" s="81"/>
      <c r="AI31" s="77"/>
      <c r="AJ31" s="74"/>
      <c r="AK31" s="74"/>
      <c r="AL31" s="74"/>
      <c r="AM31" s="74"/>
      <c r="AN31" s="74"/>
      <c r="AO31" s="74"/>
      <c r="AP31" s="74"/>
      <c r="AQ31" s="74"/>
      <c r="AR31" s="74"/>
      <c r="AS31" s="74"/>
      <c r="AT31" s="74"/>
      <c r="AU31" s="74"/>
      <c r="AV31" s="74"/>
    </row>
    <row r="32" spans="1:48" s="75" customFormat="1" ht="105" x14ac:dyDescent="0.25">
      <c r="A32" s="67">
        <v>48</v>
      </c>
      <c r="B32" s="68" t="str">
        <f t="shared" si="0"/>
        <v/>
      </c>
      <c r="C32" s="69">
        <f t="shared" si="1"/>
        <v>3</v>
      </c>
      <c r="D32" s="20"/>
      <c r="E32" s="86" t="str">
        <f t="shared" si="2"/>
        <v/>
      </c>
      <c r="F32" s="147" t="str">
        <f t="shared" si="3"/>
        <v>Vulnerability identification and exploitation typically include testers examining: Attack avenues, vectors and threat agents; results from threat analysis; technical system / network / application vulnerabilities; and control weaknesses - supported by a range of techniques (e.g. exploit techniques; escalation techniques; advancement techniques; and analysis techniques) to try and take advantage of specific weaknesses.</v>
      </c>
      <c r="G32" s="177"/>
      <c r="H32" s="177"/>
      <c r="I32" s="71"/>
      <c r="J32" s="69"/>
      <c r="K32" s="69"/>
      <c r="L32" s="69"/>
      <c r="M32" s="69"/>
      <c r="N32" s="69"/>
      <c r="O32" s="69"/>
      <c r="P32" s="69"/>
      <c r="Q32" s="69"/>
      <c r="R32" s="69"/>
      <c r="S32" s="69"/>
      <c r="T32" s="76"/>
      <c r="U32" s="76"/>
      <c r="V32" s="76"/>
      <c r="W32" s="76"/>
      <c r="X32" s="76"/>
      <c r="Z32" s="74"/>
      <c r="AA32" s="74"/>
      <c r="AB32" s="74"/>
      <c r="AC32" s="74"/>
      <c r="AD32" s="81"/>
      <c r="AE32" s="81"/>
      <c r="AF32" s="81"/>
      <c r="AG32" s="77"/>
      <c r="AH32" s="81"/>
      <c r="AI32" s="77"/>
      <c r="AJ32" s="74"/>
      <c r="AK32" s="74"/>
      <c r="AL32" s="74"/>
      <c r="AM32" s="74"/>
      <c r="AN32" s="74"/>
      <c r="AO32" s="74"/>
      <c r="AP32" s="74"/>
      <c r="AQ32" s="74"/>
      <c r="AR32" s="74"/>
      <c r="AS32" s="74"/>
      <c r="AT32" s="74"/>
      <c r="AU32" s="74"/>
      <c r="AV32" s="74"/>
    </row>
    <row r="33" spans="1:48" s="75" customFormat="1" ht="30" customHeight="1" x14ac:dyDescent="0.25">
      <c r="A33" s="67">
        <v>49</v>
      </c>
      <c r="B33" s="68" t="str">
        <f t="shared" si="0"/>
        <v>B.9</v>
      </c>
      <c r="C33" s="69">
        <f t="shared" si="1"/>
        <v>2</v>
      </c>
      <c r="D33" s="20"/>
      <c r="E33" s="105" t="str">
        <f t="shared" si="2"/>
        <v>Step 9</v>
      </c>
      <c r="F33" s="102" t="str">
        <f t="shared" si="3"/>
        <v>Report key findings</v>
      </c>
      <c r="G33" s="175" t="str">
        <f ca="1">"Maturity level:  "&amp;O33</f>
        <v>Maturity level:  Level 1</v>
      </c>
      <c r="H33" s="176"/>
      <c r="I33" s="153"/>
      <c r="J33" s="101"/>
      <c r="K33" s="101"/>
      <c r="L33" s="101" t="str">
        <f>TEXT(B33,"0.0")</f>
        <v>B.9</v>
      </c>
      <c r="M33" s="100">
        <f ca="1">SUMIF(Y:Y,L33,G:G)/(SUMIF(Y:Y,L33,X:X))</f>
        <v>0</v>
      </c>
      <c r="N33" s="100" t="str">
        <f ca="1">HLOOKUP(M33*100,level_ref,2,TRUE)</f>
        <v>Level 1</v>
      </c>
      <c r="O33" s="100" t="str">
        <f ca="1">IF(ISERROR(N33),"",N33)</f>
        <v>Level 1</v>
      </c>
      <c r="P33" s="100">
        <f ca="1">HLOOKUP(M33*100,level_ref,3,TRUE)</f>
        <v>1</v>
      </c>
      <c r="Q33" s="100">
        <f ca="1">IF(ISERROR(P33),"",P33)</f>
        <v>1</v>
      </c>
      <c r="R33" s="100">
        <f ca="1">M33*5</f>
        <v>0</v>
      </c>
      <c r="S33" s="100"/>
      <c r="T33" s="100"/>
      <c r="U33" s="100" t="str">
        <f ca="1">IF(AND(C33&gt;4,VLOOKUP(A33,Assess_B_Reference,34,FALSE)&lt;&gt;8),LEFT(B33,3),"")</f>
        <v/>
      </c>
      <c r="V33" s="100">
        <f ca="1">VLOOKUP(A33,Weightings_Assessments,24,FALSE)</f>
        <v>0</v>
      </c>
      <c r="W33" s="100">
        <f ca="1">IF(VLOOKUP(A33,Assess_B_Reference,34,FALSE)=8,0,1)</f>
        <v>1</v>
      </c>
      <c r="X33" s="100">
        <f ca="1">W33*V33*4</f>
        <v>0</v>
      </c>
      <c r="Y33" s="75" t="str">
        <f ca="1">AG33&amp;U33</f>
        <v/>
      </c>
      <c r="Z33" s="74"/>
      <c r="AA33" s="74"/>
      <c r="AB33" s="74"/>
      <c r="AC33" s="74"/>
      <c r="AD33" s="81"/>
      <c r="AE33" s="81"/>
      <c r="AF33" s="81"/>
      <c r="AG33" s="77"/>
      <c r="AH33" s="81"/>
      <c r="AI33" s="77"/>
      <c r="AJ33" s="74"/>
      <c r="AK33" s="74"/>
      <c r="AL33" s="74"/>
      <c r="AM33" s="74"/>
      <c r="AN33" s="74"/>
      <c r="AO33" s="74"/>
      <c r="AP33" s="74"/>
      <c r="AQ33" s="74"/>
      <c r="AR33" s="74"/>
      <c r="AS33" s="74"/>
      <c r="AT33" s="74"/>
      <c r="AU33" s="74"/>
      <c r="AV33" s="74"/>
    </row>
    <row r="34" spans="1:48" s="75" customFormat="1" ht="30" x14ac:dyDescent="0.25">
      <c r="A34" s="67">
        <v>50</v>
      </c>
      <c r="B34" s="68" t="str">
        <f t="shared" si="0"/>
        <v>B.9.01</v>
      </c>
      <c r="C34" s="69">
        <f t="shared" si="1"/>
        <v>5</v>
      </c>
      <c r="D34" s="20"/>
      <c r="E34" s="86" t="str">
        <f t="shared" si="2"/>
        <v>B.9.01</v>
      </c>
      <c r="F34" s="71" t="str">
        <f t="shared" si="3"/>
        <v>Are findings identified during the penetration test reported to your organisation?</v>
      </c>
      <c r="G34" s="177" t="str">
        <f ca="1">VLOOKUP($A34,Assess_B_Reference,15,FALSE)</f>
        <v/>
      </c>
      <c r="H34" s="177">
        <f ca="1">(VLOOKUP(LEFT($B34,3),targets_lookup,5,FALSE))*VLOOKUP($A34,Weightings_Assessments,23,FALSE)</f>
        <v>2</v>
      </c>
      <c r="I34" s="71" t="str">
        <f ca="1">IF(VLOOKUP(A34,Assess_B_Reference,16,FALSE)=0,"",VLOOKUP(A34,Assess_B_Reference,16,FALSE))</f>
        <v/>
      </c>
      <c r="J34" s="69"/>
      <c r="K34" s="69"/>
      <c r="L34" s="69"/>
      <c r="M34" s="69"/>
      <c r="N34" s="69"/>
      <c r="O34" s="69"/>
      <c r="P34" s="69"/>
      <c r="Q34" s="69"/>
      <c r="R34" s="69"/>
      <c r="S34" s="69"/>
      <c r="T34" s="76"/>
      <c r="U34" s="100" t="str">
        <f ca="1">IF(AND(C34&gt;4,VLOOKUP(A34,Assess_B_Reference,34,FALSE)&lt;&gt;8),LEFT(B34,3),"")</f>
        <v>B.9</v>
      </c>
      <c r="V34" s="100">
        <f ca="1">VLOOKUP(A34,Weightings_Assessments,24,FALSE)</f>
        <v>1</v>
      </c>
      <c r="W34" s="100">
        <f ca="1">IF(VLOOKUP(A34,Assess_B_Reference,34,FALSE)=8,0,1)</f>
        <v>1</v>
      </c>
      <c r="X34" s="100">
        <f ca="1">W34*V34*4</f>
        <v>4</v>
      </c>
      <c r="Y34" s="75" t="str">
        <f ca="1">AG34&amp;U34</f>
        <v>B.9</v>
      </c>
      <c r="Z34" s="74"/>
      <c r="AA34" s="74"/>
      <c r="AB34" s="74"/>
      <c r="AC34" s="74"/>
      <c r="AD34" s="81"/>
      <c r="AE34" s="81"/>
      <c r="AF34" s="81"/>
      <c r="AG34" s="77"/>
      <c r="AH34" s="81"/>
      <c r="AI34" s="77"/>
      <c r="AJ34" s="74"/>
      <c r="AK34" s="74"/>
      <c r="AL34" s="74"/>
      <c r="AM34" s="74"/>
      <c r="AN34" s="74"/>
      <c r="AO34" s="74"/>
      <c r="AP34" s="74"/>
      <c r="AQ34" s="74"/>
      <c r="AR34" s="74"/>
      <c r="AS34" s="74"/>
      <c r="AT34" s="74"/>
      <c r="AU34" s="74"/>
      <c r="AV34" s="74"/>
    </row>
    <row r="35" spans="1:48" s="75" customFormat="1" ht="75" x14ac:dyDescent="0.25">
      <c r="A35" s="67">
        <v>51</v>
      </c>
      <c r="B35" s="68" t="str">
        <f t="shared" si="0"/>
        <v/>
      </c>
      <c r="C35" s="69">
        <f t="shared" si="1"/>
        <v>3</v>
      </c>
      <c r="D35" s="20"/>
      <c r="E35" s="86" t="str">
        <f t="shared" si="2"/>
        <v/>
      </c>
      <c r="F35" s="147" t="str">
        <f t="shared" si="3"/>
        <v>Findings should be formally presented to your organisation by suppliers, who should provide details about: how testers found the vulnerabilities; what could be the outcome of each vulnerability; the level of risk to the business for each vulnerability; and advice on how to remediate each vulnerability.</v>
      </c>
      <c r="G35" s="177"/>
      <c r="H35" s="177"/>
      <c r="I35" s="71"/>
      <c r="J35" s="69"/>
      <c r="K35" s="69"/>
      <c r="L35" s="69"/>
      <c r="M35" s="69"/>
      <c r="N35" s="69"/>
      <c r="O35" s="69"/>
      <c r="P35" s="69"/>
      <c r="Q35" s="69"/>
      <c r="R35" s="69"/>
      <c r="S35" s="69"/>
      <c r="T35" s="76"/>
      <c r="U35" s="76"/>
      <c r="V35" s="76"/>
      <c r="W35" s="76"/>
      <c r="X35" s="76"/>
      <c r="Z35" s="74"/>
      <c r="AA35" s="74"/>
      <c r="AB35" s="74"/>
      <c r="AC35" s="74"/>
      <c r="AD35" s="81"/>
      <c r="AE35" s="81"/>
      <c r="AF35" s="81"/>
      <c r="AG35" s="77"/>
      <c r="AH35" s="81"/>
      <c r="AI35" s="77"/>
      <c r="AJ35" s="74"/>
      <c r="AK35" s="74"/>
      <c r="AL35" s="74"/>
      <c r="AM35" s="74"/>
      <c r="AN35" s="74"/>
      <c r="AO35" s="74"/>
      <c r="AP35" s="74"/>
      <c r="AQ35" s="74"/>
      <c r="AR35" s="74"/>
      <c r="AS35" s="74"/>
      <c r="AT35" s="74"/>
      <c r="AU35" s="74"/>
      <c r="AV35" s="74"/>
    </row>
    <row r="36" spans="1:48" x14ac:dyDescent="0.2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row>
    <row r="37" spans="1:48" x14ac:dyDescent="0.2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row>
    <row r="38" spans="1:48" x14ac:dyDescent="0.2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row>
    <row r="39" spans="1:48" x14ac:dyDescent="0.2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row>
  </sheetData>
  <sheetProtection algorithmName="SHA-512" hashValue="/srQqRroySjRWZ/fXXNMuRvrxL7T+8HPtkENBc1sV2siB4b6uV9peXScmGQnFr3aj0xrzp3hJrXHgPToYuwF8w==" saltValue="GWgeEI09u+bXdLyx3LEVjw==" spinCount="100000" sheet="1" objects="1" scenarios="1"/>
  <mergeCells count="2">
    <mergeCell ref="F2:I3"/>
    <mergeCell ref="F4:I5"/>
  </mergeCells>
  <conditionalFormatting sqref="G8">
    <cfRule type="dataBar" priority="10">
      <dataBar>
        <cfvo type="num" val="0"/>
        <cfvo type="num" val="4"/>
        <color rgb="FF638EC6"/>
      </dataBar>
      <extLst>
        <ext xmlns:x14="http://schemas.microsoft.com/office/spreadsheetml/2009/9/main" uri="{B025F937-C7B1-47D3-B67F-A62EFF666E3E}">
          <x14:id>{0AF4D61E-9B03-4CA9-B86D-499ED5D57D0B}</x14:id>
        </ext>
      </extLst>
    </cfRule>
  </conditionalFormatting>
  <conditionalFormatting sqref="H8">
    <cfRule type="dataBar" priority="9">
      <dataBar>
        <cfvo type="num" val="0"/>
        <cfvo type="num" val="4"/>
        <color rgb="FF00B050"/>
      </dataBar>
      <extLst>
        <ext xmlns:x14="http://schemas.microsoft.com/office/spreadsheetml/2009/9/main" uri="{B025F937-C7B1-47D3-B67F-A62EFF666E3E}">
          <x14:id>{8FFF4DDE-D6F5-4F98-AE3F-953E9849BC32}</x14:id>
        </ext>
      </extLst>
    </cfRule>
  </conditionalFormatting>
  <conditionalFormatting sqref="G9">
    <cfRule type="dataBar" priority="8">
      <dataBar>
        <cfvo type="num" val="0"/>
        <cfvo type="num" val="4"/>
        <color rgb="FF638EC6"/>
      </dataBar>
      <extLst>
        <ext xmlns:x14="http://schemas.microsoft.com/office/spreadsheetml/2009/9/main" uri="{B025F937-C7B1-47D3-B67F-A62EFF666E3E}">
          <x14:id>{D2ABB558-F91F-4BC6-A4C7-D1B708B030F5}</x14:id>
        </ext>
      </extLst>
    </cfRule>
  </conditionalFormatting>
  <conditionalFormatting sqref="H9">
    <cfRule type="dataBar" priority="7">
      <dataBar>
        <cfvo type="num" val="0"/>
        <cfvo type="num" val="4"/>
        <color rgb="FF00B050"/>
      </dataBar>
      <extLst>
        <ext xmlns:x14="http://schemas.microsoft.com/office/spreadsheetml/2009/9/main" uri="{B025F937-C7B1-47D3-B67F-A62EFF666E3E}">
          <x14:id>{0BBE0B27-4645-4841-A9AD-B3EEA31A8150}</x14:id>
        </ext>
      </extLst>
    </cfRule>
  </conditionalFormatting>
  <conditionalFormatting sqref="G32">
    <cfRule type="dataBar" priority="6">
      <dataBar>
        <cfvo type="num" val="0"/>
        <cfvo type="num" val="4"/>
        <color rgb="FF638EC6"/>
      </dataBar>
      <extLst>
        <ext xmlns:x14="http://schemas.microsoft.com/office/spreadsheetml/2009/9/main" uri="{B025F937-C7B1-47D3-B67F-A62EFF666E3E}">
          <x14:id>{BC4A4D56-3A81-407D-8D46-C85EEDDE205D}</x14:id>
        </ext>
      </extLst>
    </cfRule>
  </conditionalFormatting>
  <conditionalFormatting sqref="H32">
    <cfRule type="dataBar" priority="5">
      <dataBar>
        <cfvo type="num" val="0"/>
        <cfvo type="num" val="4"/>
        <color rgb="FF00B050"/>
      </dataBar>
      <extLst>
        <ext xmlns:x14="http://schemas.microsoft.com/office/spreadsheetml/2009/9/main" uri="{B025F937-C7B1-47D3-B67F-A62EFF666E3E}">
          <x14:id>{BA1DE122-3B0D-4212-A292-7BC2C3ABBDA8}</x14:id>
        </ext>
      </extLst>
    </cfRule>
  </conditionalFormatting>
  <conditionalFormatting sqref="G10:G31">
    <cfRule type="dataBar" priority="4">
      <dataBar>
        <cfvo type="num" val="0"/>
        <cfvo type="num" val="4"/>
        <color rgb="FF638EC6"/>
      </dataBar>
      <extLst>
        <ext xmlns:x14="http://schemas.microsoft.com/office/spreadsheetml/2009/9/main" uri="{B025F937-C7B1-47D3-B67F-A62EFF666E3E}">
          <x14:id>{2BC81411-264B-4FD8-960F-8D662FFD2A40}</x14:id>
        </ext>
      </extLst>
    </cfRule>
  </conditionalFormatting>
  <conditionalFormatting sqref="H10:H31">
    <cfRule type="dataBar" priority="3">
      <dataBar>
        <cfvo type="num" val="0"/>
        <cfvo type="num" val="4"/>
        <color rgb="FF00B050"/>
      </dataBar>
      <extLst>
        <ext xmlns:x14="http://schemas.microsoft.com/office/spreadsheetml/2009/9/main" uri="{B025F937-C7B1-47D3-B67F-A62EFF666E3E}">
          <x14:id>{B5FA4BBA-A456-40A4-9F3E-D076AF88237B}</x14:id>
        </ext>
      </extLst>
    </cfRule>
  </conditionalFormatting>
  <conditionalFormatting sqref="G33:G35">
    <cfRule type="dataBar" priority="2">
      <dataBar>
        <cfvo type="num" val="0"/>
        <cfvo type="num" val="4"/>
        <color rgb="FF638EC6"/>
      </dataBar>
      <extLst>
        <ext xmlns:x14="http://schemas.microsoft.com/office/spreadsheetml/2009/9/main" uri="{B025F937-C7B1-47D3-B67F-A62EFF666E3E}">
          <x14:id>{D263D67E-A0EA-4472-979A-1E0B70FAA359}</x14:id>
        </ext>
      </extLst>
    </cfRule>
  </conditionalFormatting>
  <conditionalFormatting sqref="H33:H35">
    <cfRule type="dataBar" priority="1">
      <dataBar>
        <cfvo type="num" val="0"/>
        <cfvo type="num" val="20"/>
        <color rgb="FF00B050"/>
      </dataBar>
      <extLst>
        <ext xmlns:x14="http://schemas.microsoft.com/office/spreadsheetml/2009/9/main" uri="{B025F937-C7B1-47D3-B67F-A62EFF666E3E}">
          <x14:id>{2616009E-441A-4FF2-B58E-040424349BA4}</x14:id>
        </ext>
      </extLst>
    </cfRule>
  </conditionalFormatting>
  <pageMargins left="0.7" right="0.7" top="0.75" bottom="0.75" header="0.3" footer="0.3"/>
  <pageSetup paperSize="9" scale="73"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0AF4D61E-9B03-4CA9-B86D-499ED5D57D0B}">
            <x14:dataBar minLength="0" maxLength="100" gradient="0">
              <x14:cfvo type="num">
                <xm:f>0</xm:f>
              </x14:cfvo>
              <x14:cfvo type="num">
                <xm:f>4</xm:f>
              </x14:cfvo>
              <x14:negativeFillColor rgb="FFFF0000"/>
              <x14:axisColor rgb="FF000000"/>
            </x14:dataBar>
          </x14:cfRule>
          <xm:sqref>G8</xm:sqref>
        </x14:conditionalFormatting>
        <x14:conditionalFormatting xmlns:xm="http://schemas.microsoft.com/office/excel/2006/main">
          <x14:cfRule type="dataBar" id="{8FFF4DDE-D6F5-4F98-AE3F-953E9849BC32}">
            <x14:dataBar minLength="0" maxLength="100" gradient="0">
              <x14:cfvo type="num">
                <xm:f>0</xm:f>
              </x14:cfvo>
              <x14:cfvo type="num">
                <xm:f>4</xm:f>
              </x14:cfvo>
              <x14:negativeFillColor rgb="FFFF0000"/>
              <x14:axisColor rgb="FF000000"/>
            </x14:dataBar>
          </x14:cfRule>
          <xm:sqref>H8</xm:sqref>
        </x14:conditionalFormatting>
        <x14:conditionalFormatting xmlns:xm="http://schemas.microsoft.com/office/excel/2006/main">
          <x14:cfRule type="dataBar" id="{D2ABB558-F91F-4BC6-A4C7-D1B708B030F5}">
            <x14:dataBar minLength="0" maxLength="100" gradient="0">
              <x14:cfvo type="num">
                <xm:f>0</xm:f>
              </x14:cfvo>
              <x14:cfvo type="num">
                <xm:f>4</xm:f>
              </x14:cfvo>
              <x14:negativeFillColor rgb="FFFF0000"/>
              <x14:axisColor rgb="FF000000"/>
            </x14:dataBar>
          </x14:cfRule>
          <xm:sqref>G9</xm:sqref>
        </x14:conditionalFormatting>
        <x14:conditionalFormatting xmlns:xm="http://schemas.microsoft.com/office/excel/2006/main">
          <x14:cfRule type="dataBar" id="{0BBE0B27-4645-4841-A9AD-B3EEA31A8150}">
            <x14:dataBar minLength="0" maxLength="100" gradient="0">
              <x14:cfvo type="num">
                <xm:f>0</xm:f>
              </x14:cfvo>
              <x14:cfvo type="num">
                <xm:f>4</xm:f>
              </x14:cfvo>
              <x14:negativeFillColor rgb="FFFF0000"/>
              <x14:axisColor rgb="FF000000"/>
            </x14:dataBar>
          </x14:cfRule>
          <xm:sqref>H9</xm:sqref>
        </x14:conditionalFormatting>
        <x14:conditionalFormatting xmlns:xm="http://schemas.microsoft.com/office/excel/2006/main">
          <x14:cfRule type="dataBar" id="{BC4A4D56-3A81-407D-8D46-C85EEDDE205D}">
            <x14:dataBar minLength="0" maxLength="100" gradient="0">
              <x14:cfvo type="num">
                <xm:f>0</xm:f>
              </x14:cfvo>
              <x14:cfvo type="num">
                <xm:f>4</xm:f>
              </x14:cfvo>
              <x14:negativeFillColor rgb="FFFF0000"/>
              <x14:axisColor rgb="FF000000"/>
            </x14:dataBar>
          </x14:cfRule>
          <xm:sqref>G32</xm:sqref>
        </x14:conditionalFormatting>
        <x14:conditionalFormatting xmlns:xm="http://schemas.microsoft.com/office/excel/2006/main">
          <x14:cfRule type="dataBar" id="{BA1DE122-3B0D-4212-A292-7BC2C3ABBDA8}">
            <x14:dataBar minLength="0" maxLength="100" gradient="0">
              <x14:cfvo type="num">
                <xm:f>0</xm:f>
              </x14:cfvo>
              <x14:cfvo type="num">
                <xm:f>4</xm:f>
              </x14:cfvo>
              <x14:negativeFillColor rgb="FFFF0000"/>
              <x14:axisColor rgb="FF000000"/>
            </x14:dataBar>
          </x14:cfRule>
          <xm:sqref>H32</xm:sqref>
        </x14:conditionalFormatting>
        <x14:conditionalFormatting xmlns:xm="http://schemas.microsoft.com/office/excel/2006/main">
          <x14:cfRule type="dataBar" id="{2BC81411-264B-4FD8-960F-8D662FFD2A40}">
            <x14:dataBar minLength="0" maxLength="100" gradient="0">
              <x14:cfvo type="num">
                <xm:f>0</xm:f>
              </x14:cfvo>
              <x14:cfvo type="num">
                <xm:f>4</xm:f>
              </x14:cfvo>
              <x14:negativeFillColor rgb="FFFF0000"/>
              <x14:axisColor rgb="FF000000"/>
            </x14:dataBar>
          </x14:cfRule>
          <xm:sqref>G10:G31</xm:sqref>
        </x14:conditionalFormatting>
        <x14:conditionalFormatting xmlns:xm="http://schemas.microsoft.com/office/excel/2006/main">
          <x14:cfRule type="dataBar" id="{B5FA4BBA-A456-40A4-9F3E-D076AF88237B}">
            <x14:dataBar minLength="0" maxLength="100" gradient="0">
              <x14:cfvo type="num">
                <xm:f>0</xm:f>
              </x14:cfvo>
              <x14:cfvo type="num">
                <xm:f>4</xm:f>
              </x14:cfvo>
              <x14:negativeFillColor rgb="FFFF0000"/>
              <x14:axisColor rgb="FF000000"/>
            </x14:dataBar>
          </x14:cfRule>
          <xm:sqref>H10:H31</xm:sqref>
        </x14:conditionalFormatting>
        <x14:conditionalFormatting xmlns:xm="http://schemas.microsoft.com/office/excel/2006/main">
          <x14:cfRule type="dataBar" id="{D263D67E-A0EA-4472-979A-1E0B70FAA359}">
            <x14:dataBar minLength="0" maxLength="100" gradient="0">
              <x14:cfvo type="num">
                <xm:f>0</xm:f>
              </x14:cfvo>
              <x14:cfvo type="num">
                <xm:f>4</xm:f>
              </x14:cfvo>
              <x14:negativeFillColor rgb="FFFF0000"/>
              <x14:axisColor rgb="FF000000"/>
            </x14:dataBar>
          </x14:cfRule>
          <xm:sqref>G33:G35</xm:sqref>
        </x14:conditionalFormatting>
        <x14:conditionalFormatting xmlns:xm="http://schemas.microsoft.com/office/excel/2006/main">
          <x14:cfRule type="dataBar" id="{2616009E-441A-4FF2-B58E-040424349BA4}">
            <x14:dataBar minLength="0" maxLength="100" gradient="0">
              <x14:cfvo type="num">
                <xm:f>0</xm:f>
              </x14:cfvo>
              <x14:cfvo type="num">
                <xm:f>20</xm:f>
              </x14:cfvo>
              <x14:negativeFillColor rgb="FFFF0000"/>
              <x14:axisColor rgb="FF000000"/>
            </x14:dataBar>
          </x14:cfRule>
          <xm:sqref>H33:H35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00B050"/>
    <pageSetUpPr autoPageBreaks="0" fitToPage="1"/>
  </sheetPr>
  <dimension ref="A2:AQ28"/>
  <sheetViews>
    <sheetView showGridLines="0" showRowColHeaders="0" zoomScaleNormal="100" workbookViewId="0">
      <pane ySplit="7" topLeftCell="A8" activePane="bottomLeft" state="frozen"/>
      <selection activeCell="D1" sqref="D1"/>
      <selection pane="bottomLeft" activeCell="AB8" sqref="AB8"/>
    </sheetView>
  </sheetViews>
  <sheetFormatPr defaultColWidth="9.140625" defaultRowHeight="15" x14ac:dyDescent="0.25"/>
  <cols>
    <col min="1" max="1" width="9.28515625" style="152" hidden="1" customWidth="1"/>
    <col min="2" max="3" width="8.85546875" style="21" hidden="1" customWidth="1"/>
    <col min="4" max="4" width="6.28515625" style="21" customWidth="1"/>
    <col min="5" max="5" width="15.5703125" style="21" customWidth="1"/>
    <col min="6" max="6" width="67.42578125" style="21" customWidth="1"/>
    <col min="7" max="8" width="27" style="21" customWidth="1"/>
    <col min="9" max="9" width="41.7109375" style="83" customWidth="1"/>
    <col min="10" max="11" width="9.140625" style="21" customWidth="1"/>
    <col min="12" max="18" width="9.140625" style="21" hidden="1" customWidth="1"/>
    <col min="19" max="20" width="9.140625" style="21" customWidth="1"/>
    <col min="21" max="25" width="9.140625" style="21" hidden="1" customWidth="1"/>
    <col min="26" max="35" width="9.140625" style="21" customWidth="1"/>
    <col min="36" max="16384" width="9.140625" style="21"/>
  </cols>
  <sheetData>
    <row r="2" spans="1:43" s="53" customFormat="1" ht="15" customHeight="1" x14ac:dyDescent="0.25">
      <c r="A2" s="152"/>
      <c r="B2" s="21"/>
      <c r="C2" s="21"/>
      <c r="D2" s="21"/>
      <c r="E2" s="21"/>
      <c r="F2" s="314" t="str">
        <f>"Results"&amp;IF(LEN(profile_name_of_organisation)=0,""," for "&amp;profile_name_of_organisation)</f>
        <v>Results</v>
      </c>
      <c r="G2" s="314"/>
      <c r="H2" s="314"/>
      <c r="I2" s="314"/>
      <c r="J2" s="106"/>
      <c r="K2" s="106"/>
      <c r="L2" s="106"/>
      <c r="M2" s="106"/>
      <c r="N2" s="106"/>
      <c r="O2" s="106"/>
      <c r="P2" s="106"/>
      <c r="Q2" s="106"/>
      <c r="R2" s="106"/>
      <c r="S2" s="106"/>
      <c r="T2" s="106"/>
      <c r="U2" s="106"/>
      <c r="V2" s="106"/>
      <c r="W2" s="106"/>
      <c r="X2" s="106"/>
    </row>
    <row r="3" spans="1:43" s="53" customFormat="1" ht="15" customHeight="1" x14ac:dyDescent="0.25">
      <c r="A3" s="152"/>
      <c r="B3" s="21"/>
      <c r="C3" s="21"/>
      <c r="D3" s="21"/>
      <c r="E3" s="21"/>
      <c r="F3" s="314"/>
      <c r="G3" s="314"/>
      <c r="H3" s="314"/>
      <c r="I3" s="314"/>
      <c r="J3" s="106"/>
      <c r="K3" s="106"/>
      <c r="L3" s="106"/>
      <c r="M3" s="106"/>
      <c r="N3" s="106"/>
      <c r="O3" s="106"/>
      <c r="P3" s="106"/>
      <c r="Q3" s="106"/>
      <c r="R3" s="106"/>
      <c r="S3" s="106"/>
      <c r="T3" s="106"/>
      <c r="U3" s="106"/>
      <c r="V3" s="106"/>
      <c r="W3" s="106"/>
      <c r="X3" s="106"/>
    </row>
    <row r="4" spans="1:43" s="53" customFormat="1" ht="15" customHeight="1" x14ac:dyDescent="0.25">
      <c r="A4" s="152"/>
      <c r="B4" s="21"/>
      <c r="C4" s="21"/>
      <c r="D4" s="21"/>
      <c r="E4" s="21"/>
      <c r="F4" s="315" t="str">
        <f ca="1">'Assess A'!F2</f>
        <v>Maturity model for Stage A - Preparation</v>
      </c>
      <c r="G4" s="315"/>
      <c r="H4" s="315"/>
      <c r="I4" s="315"/>
      <c r="J4" s="106"/>
      <c r="K4" s="106"/>
      <c r="L4" s="106"/>
      <c r="M4" s="106"/>
      <c r="N4" s="106"/>
      <c r="O4" s="106"/>
      <c r="P4" s="106"/>
      <c r="Q4" s="106"/>
      <c r="R4" s="106"/>
      <c r="S4" s="106"/>
      <c r="T4" s="106"/>
      <c r="U4" s="106"/>
      <c r="V4" s="106"/>
      <c r="W4" s="106"/>
      <c r="X4" s="106"/>
    </row>
    <row r="5" spans="1:43" s="53" customFormat="1" ht="15" customHeight="1" x14ac:dyDescent="0.25">
      <c r="A5" s="152"/>
      <c r="B5" s="21"/>
      <c r="C5" s="21"/>
      <c r="D5" s="21"/>
      <c r="E5" s="21"/>
      <c r="F5" s="315"/>
      <c r="G5" s="315"/>
      <c r="H5" s="315"/>
      <c r="I5" s="315"/>
      <c r="J5" s="106"/>
      <c r="K5" s="106"/>
      <c r="L5" s="106"/>
      <c r="M5" s="106"/>
      <c r="N5" s="106"/>
      <c r="O5" s="106"/>
      <c r="P5" s="106"/>
      <c r="Q5" s="106"/>
      <c r="R5" s="106"/>
      <c r="S5" s="106"/>
      <c r="T5" s="106"/>
      <c r="U5" s="106"/>
      <c r="V5" s="106"/>
      <c r="W5" s="106"/>
      <c r="X5" s="106"/>
    </row>
    <row r="7" spans="1:43" ht="19.5" x14ac:dyDescent="0.3">
      <c r="A7" s="9" t="s">
        <v>67</v>
      </c>
      <c r="B7" s="65" t="s">
        <v>72</v>
      </c>
      <c r="C7" s="13" t="s">
        <v>71</v>
      </c>
      <c r="F7" s="54"/>
      <c r="G7" s="59" t="s">
        <v>140</v>
      </c>
      <c r="H7" s="60" t="s">
        <v>133</v>
      </c>
      <c r="I7" s="84" t="s">
        <v>48</v>
      </c>
      <c r="AD7" s="227"/>
      <c r="AE7" s="227"/>
      <c r="AF7" s="227"/>
      <c r="AG7" s="228"/>
      <c r="AH7" s="227"/>
      <c r="AI7" s="228"/>
    </row>
    <row r="8" spans="1:43" s="75" customFormat="1" ht="30" customHeight="1" x14ac:dyDescent="0.25">
      <c r="A8" s="67">
        <v>53</v>
      </c>
      <c r="B8" s="68" t="str">
        <f t="shared" ref="B8:B25" si="0">VLOOKUP(A8,contentrefmockup,2,FALSE)</f>
        <v>C.1</v>
      </c>
      <c r="C8" s="69">
        <f t="shared" ref="C8:C25" si="1">VLOOKUP(A8,contentrefmockup,15,FALSE)</f>
        <v>2</v>
      </c>
      <c r="D8" s="20"/>
      <c r="E8" s="105" t="str">
        <f t="shared" ref="E8:E25" si="2">IF(C8=1,"Phase "&amp;B8,IF(C8=2,"Step "&amp;VLOOKUP(A8,contentrefmockup,4,FALSE),B8))</f>
        <v>Step 1</v>
      </c>
      <c r="F8" s="102" t="str">
        <f t="shared" ref="F8:F25" si="3">VLOOKUP(A8,contentrefmockup,7,FALSE)</f>
        <v>Remediate weaknesses</v>
      </c>
      <c r="G8" s="175" t="str">
        <f ca="1">"Maturity level:  "&amp;O8</f>
        <v>Maturity level:  Level 1</v>
      </c>
      <c r="H8" s="176"/>
      <c r="I8" s="153"/>
      <c r="J8" s="101"/>
      <c r="K8" s="101"/>
      <c r="L8" s="101" t="str">
        <f>TEXT(B8,"0.0")</f>
        <v>C.1</v>
      </c>
      <c r="M8" s="100">
        <f ca="1">SUMIF(Y:Y,L8,G:G)/(SUMIF(Y:Y,L8,X:X))</f>
        <v>0</v>
      </c>
      <c r="N8" s="100" t="str">
        <f ca="1">HLOOKUP(M8*100,level_ref,2,TRUE)</f>
        <v>Level 1</v>
      </c>
      <c r="O8" s="100" t="str">
        <f ca="1">IF(ISERROR(N8),"",N8)</f>
        <v>Level 1</v>
      </c>
      <c r="P8" s="100">
        <f ca="1">HLOOKUP(M8*100,level_ref,3,TRUE)</f>
        <v>1</v>
      </c>
      <c r="Q8" s="100">
        <f ca="1">IF(ISERROR(P8),"",P8)</f>
        <v>1</v>
      </c>
      <c r="R8" s="100">
        <f ca="1">M8*5</f>
        <v>0</v>
      </c>
      <c r="S8" s="100"/>
      <c r="T8" s="100"/>
      <c r="U8" s="100" t="str">
        <f ca="1">IF(AND(C8&gt;4,VLOOKUP(A8,Assess_C_Reference,34,FALSE)&lt;&gt;8),LEFT(B8,3),"")</f>
        <v/>
      </c>
      <c r="V8" s="100">
        <f ca="1">VLOOKUP(A8,Weightings_Assessments,24,FALSE)</f>
        <v>0</v>
      </c>
      <c r="W8" s="100">
        <f ca="1">IF(VLOOKUP(A8,Assess_C_Reference,34,FALSE)=8,0,1)</f>
        <v>1</v>
      </c>
      <c r="X8" s="100">
        <f ca="1">W8*V8*4</f>
        <v>0</v>
      </c>
      <c r="Y8" s="75" t="str">
        <f ca="1">AG8&amp;U8</f>
        <v/>
      </c>
      <c r="Z8" s="229"/>
      <c r="AA8" s="229"/>
      <c r="AB8" s="229"/>
      <c r="AC8" s="229"/>
      <c r="AD8" s="81"/>
      <c r="AE8" s="81"/>
      <c r="AF8" s="81"/>
      <c r="AG8" s="77"/>
      <c r="AH8" s="81"/>
      <c r="AI8" s="77"/>
      <c r="AJ8" s="229"/>
      <c r="AK8" s="229"/>
      <c r="AL8" s="229"/>
      <c r="AM8" s="229"/>
      <c r="AN8" s="229"/>
      <c r="AO8" s="229"/>
      <c r="AP8" s="229"/>
      <c r="AQ8" s="229"/>
    </row>
    <row r="9" spans="1:43" s="75" customFormat="1" ht="30" x14ac:dyDescent="0.25">
      <c r="A9" s="67">
        <v>54</v>
      </c>
      <c r="B9" s="68" t="str">
        <f t="shared" si="0"/>
        <v>C.1.01</v>
      </c>
      <c r="C9" s="69">
        <f t="shared" si="1"/>
        <v>5</v>
      </c>
      <c r="D9" s="20"/>
      <c r="E9" s="86" t="str">
        <f t="shared" si="2"/>
        <v>C.1.01</v>
      </c>
      <c r="F9" s="71" t="str">
        <f t="shared" si="3"/>
        <v>Do follow-up activities include remediating weaknesses found during the testing process, reducing the risk of them being exploited again?</v>
      </c>
      <c r="G9" s="177" t="str">
        <f ca="1">VLOOKUP($A9,Assess_C_Reference,15,FALSE)</f>
        <v/>
      </c>
      <c r="H9" s="177">
        <f ca="1">(VLOOKUP(LEFT($B9,3),targets_lookup,5,FALSE))*VLOOKUP($A9,Weightings_Assessments,23,FALSE)</f>
        <v>2</v>
      </c>
      <c r="I9" s="71" t="str">
        <f ca="1">IF(VLOOKUP(A9,Assess_C_Reference,16,FALSE)=0,"",VLOOKUP(A9,Assess_C_Reference,16,FALSE))</f>
        <v/>
      </c>
      <c r="J9" s="69"/>
      <c r="K9" s="69"/>
      <c r="L9" s="69"/>
      <c r="M9" s="69"/>
      <c r="N9" s="69"/>
      <c r="O9" s="69"/>
      <c r="P9" s="69"/>
      <c r="Q9" s="69"/>
      <c r="R9" s="69"/>
      <c r="S9" s="69"/>
      <c r="T9" s="76"/>
      <c r="U9" s="100" t="str">
        <f ca="1">IF(AND(C9&gt;4,VLOOKUP(A9,Assess_C_Reference,34,FALSE)&lt;&gt;8),LEFT(B9,3),"")</f>
        <v>C.1</v>
      </c>
      <c r="V9" s="100">
        <f ca="1">VLOOKUP(A9,Weightings_Assessments,24,FALSE)</f>
        <v>1</v>
      </c>
      <c r="W9" s="100">
        <f ca="1">IF(VLOOKUP(A9,Assess_C_Reference,34,FALSE)=8,0,1)</f>
        <v>1</v>
      </c>
      <c r="X9" s="100">
        <f ca="1">W9*V9*4</f>
        <v>4</v>
      </c>
      <c r="Y9" s="75" t="str">
        <f ca="1">AG9&amp;U9</f>
        <v>C.1</v>
      </c>
      <c r="Z9" s="74"/>
      <c r="AA9" s="74"/>
      <c r="AB9" s="74"/>
      <c r="AC9" s="74"/>
      <c r="AD9" s="81"/>
      <c r="AE9" s="81"/>
      <c r="AF9" s="81"/>
      <c r="AG9" s="77"/>
      <c r="AH9" s="81"/>
      <c r="AI9" s="77"/>
      <c r="AJ9" s="74"/>
      <c r="AK9" s="74"/>
      <c r="AL9" s="74"/>
      <c r="AM9" s="74"/>
      <c r="AN9" s="74"/>
      <c r="AO9" s="74"/>
      <c r="AP9" s="74"/>
      <c r="AQ9" s="74"/>
    </row>
    <row r="10" spans="1:43" s="75" customFormat="1" ht="105" x14ac:dyDescent="0.25">
      <c r="A10" s="67">
        <v>55</v>
      </c>
      <c r="B10" s="68" t="str">
        <f t="shared" si="0"/>
        <v/>
      </c>
      <c r="C10" s="69">
        <f t="shared" si="1"/>
        <v>3</v>
      </c>
      <c r="D10" s="20"/>
      <c r="E10" s="86" t="str">
        <f t="shared" si="2"/>
        <v/>
      </c>
      <c r="F10" s="147" t="str">
        <f t="shared" si="3"/>
        <v>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v>
      </c>
      <c r="G10" s="177"/>
      <c r="H10" s="177"/>
      <c r="I10" s="71"/>
      <c r="J10" s="69"/>
      <c r="K10" s="69"/>
      <c r="L10" s="69"/>
      <c r="M10" s="69"/>
      <c r="N10" s="69"/>
      <c r="O10" s="69"/>
      <c r="P10" s="69"/>
      <c r="Q10" s="69"/>
      <c r="R10" s="69"/>
      <c r="S10" s="69"/>
      <c r="T10" s="76"/>
      <c r="U10" s="76"/>
      <c r="V10" s="76"/>
      <c r="W10" s="76"/>
      <c r="X10" s="76"/>
      <c r="Z10" s="74"/>
      <c r="AA10" s="74"/>
      <c r="AB10" s="74"/>
      <c r="AC10" s="74"/>
      <c r="AD10" s="81"/>
      <c r="AE10" s="81"/>
      <c r="AF10" s="81"/>
      <c r="AG10" s="77"/>
      <c r="AH10" s="81"/>
      <c r="AI10" s="77"/>
      <c r="AJ10" s="74"/>
      <c r="AK10" s="74"/>
      <c r="AL10" s="74"/>
      <c r="AM10" s="74"/>
      <c r="AN10" s="74"/>
      <c r="AO10" s="74"/>
      <c r="AP10" s="74"/>
      <c r="AQ10" s="74"/>
    </row>
    <row r="11" spans="1:43" s="75" customFormat="1" ht="30" customHeight="1" x14ac:dyDescent="0.25">
      <c r="A11" s="67">
        <v>56</v>
      </c>
      <c r="B11" s="68" t="str">
        <f t="shared" si="0"/>
        <v>C.2</v>
      </c>
      <c r="C11" s="69">
        <f t="shared" si="1"/>
        <v>2</v>
      </c>
      <c r="D11" s="20"/>
      <c r="E11" s="105" t="str">
        <f t="shared" si="2"/>
        <v>Step 2</v>
      </c>
      <c r="F11" s="102" t="str">
        <f t="shared" si="3"/>
        <v>Address root causes of weaknesses</v>
      </c>
      <c r="G11" s="175" t="str">
        <f ca="1">"Maturity level:  "&amp;O11</f>
        <v>Maturity level:  Level 1</v>
      </c>
      <c r="H11" s="176"/>
      <c r="I11" s="153"/>
      <c r="J11" s="101"/>
      <c r="K11" s="101"/>
      <c r="L11" s="101" t="str">
        <f>TEXT(B11,"0.0")</f>
        <v>C.2</v>
      </c>
      <c r="M11" s="100">
        <f ca="1">SUMIF(Y:Y,L11,G:G)/(SUMIF(Y:Y,L11,X:X))</f>
        <v>0</v>
      </c>
      <c r="N11" s="100" t="str">
        <f ca="1">HLOOKUP(M11*100,level_ref,2,TRUE)</f>
        <v>Level 1</v>
      </c>
      <c r="O11" s="100" t="str">
        <f ca="1">IF(ISERROR(N11),"",N11)</f>
        <v>Level 1</v>
      </c>
      <c r="P11" s="100">
        <f ca="1">HLOOKUP(M11*100,level_ref,3,TRUE)</f>
        <v>1</v>
      </c>
      <c r="Q11" s="100">
        <f ca="1">IF(ISERROR(P11),"",P11)</f>
        <v>1</v>
      </c>
      <c r="R11" s="100">
        <f ca="1">M11*5</f>
        <v>0</v>
      </c>
      <c r="S11" s="100"/>
      <c r="T11" s="100"/>
      <c r="U11" s="100" t="str">
        <f ca="1">IF(AND(C11&gt;4,VLOOKUP(A11,Assess_C_Reference,34,FALSE)&lt;&gt;8),LEFT(B11,3),"")</f>
        <v/>
      </c>
      <c r="V11" s="100">
        <f ca="1">VLOOKUP(A11,Weightings_Assessments,24,FALSE)</f>
        <v>0</v>
      </c>
      <c r="W11" s="100">
        <f ca="1">IF(VLOOKUP(A11,Assess_C_Reference,34,FALSE)=8,0,1)</f>
        <v>1</v>
      </c>
      <c r="X11" s="100">
        <f ca="1">W11*V11*4</f>
        <v>0</v>
      </c>
      <c r="Y11" s="75" t="str">
        <f ca="1">AG11&amp;U11</f>
        <v/>
      </c>
      <c r="Z11" s="74"/>
      <c r="AA11" s="74"/>
      <c r="AB11" s="74"/>
      <c r="AC11" s="74"/>
      <c r="AD11" s="81"/>
      <c r="AE11" s="81"/>
      <c r="AF11" s="81"/>
      <c r="AG11" s="77"/>
      <c r="AH11" s="81"/>
      <c r="AI11" s="77"/>
      <c r="AJ11" s="74"/>
      <c r="AK11" s="74"/>
      <c r="AL11" s="74"/>
      <c r="AM11" s="74"/>
      <c r="AN11" s="74"/>
      <c r="AO11" s="74"/>
      <c r="AP11" s="74"/>
      <c r="AQ11" s="74"/>
    </row>
    <row r="12" spans="1:43" s="75" customFormat="1" ht="30" x14ac:dyDescent="0.25">
      <c r="A12" s="67">
        <v>57</v>
      </c>
      <c r="B12" s="68" t="str">
        <f t="shared" si="0"/>
        <v>C.2.01</v>
      </c>
      <c r="C12" s="69">
        <f t="shared" si="1"/>
        <v>5</v>
      </c>
      <c r="D12" s="20"/>
      <c r="E12" s="86" t="str">
        <f t="shared" si="2"/>
        <v>C.2.01</v>
      </c>
      <c r="F12" s="71" t="str">
        <f t="shared" si="3"/>
        <v>Do follow-up activities include analysing and addressing the root causes of weaknesses identified in penetration testing?</v>
      </c>
      <c r="G12" s="177" t="str">
        <f ca="1">VLOOKUP($A12,Assess_C_Reference,15,FALSE)</f>
        <v/>
      </c>
      <c r="H12" s="177">
        <f ca="1">(VLOOKUP(LEFT($B12,3),targets_lookup,5,FALSE))*VLOOKUP($A12,Weightings_Assessments,23,FALSE)</f>
        <v>2</v>
      </c>
      <c r="I12" s="71" t="str">
        <f ca="1">IF(VLOOKUP(A12,Assess_C_Reference,16,FALSE)=0,"",VLOOKUP(A12,Assess_C_Reference,16,FALSE))</f>
        <v/>
      </c>
      <c r="J12" s="69"/>
      <c r="K12" s="69"/>
      <c r="L12" s="69"/>
      <c r="M12" s="69"/>
      <c r="N12" s="69"/>
      <c r="O12" s="69"/>
      <c r="P12" s="69"/>
      <c r="Q12" s="69"/>
      <c r="R12" s="69"/>
      <c r="S12" s="69"/>
      <c r="T12" s="76"/>
      <c r="U12" s="100" t="str">
        <f ca="1">IF(AND(C12&gt;4,VLOOKUP(A12,Assess_C_Reference,34,FALSE)&lt;&gt;8),LEFT(B12,3),"")</f>
        <v>C.2</v>
      </c>
      <c r="V12" s="100">
        <f ca="1">VLOOKUP(A12,Weightings_Assessments,24,FALSE)</f>
        <v>1</v>
      </c>
      <c r="W12" s="100">
        <f ca="1">IF(VLOOKUP(A12,Assess_C_Reference,34,FALSE)=8,0,1)</f>
        <v>1</v>
      </c>
      <c r="X12" s="100">
        <f ca="1">W12*V12*4</f>
        <v>4</v>
      </c>
      <c r="Y12" s="75" t="str">
        <f ca="1">AG12&amp;U12</f>
        <v>C.2</v>
      </c>
      <c r="Z12" s="74"/>
      <c r="AA12" s="74"/>
      <c r="AB12" s="74"/>
      <c r="AC12" s="74"/>
      <c r="AD12" s="81"/>
      <c r="AE12" s="81"/>
      <c r="AF12" s="81"/>
      <c r="AG12" s="77"/>
      <c r="AH12" s="81"/>
      <c r="AI12" s="77"/>
      <c r="AJ12" s="74"/>
      <c r="AK12" s="74"/>
      <c r="AL12" s="74"/>
      <c r="AM12" s="74"/>
      <c r="AN12" s="74"/>
      <c r="AO12" s="74"/>
      <c r="AP12" s="74"/>
      <c r="AQ12" s="74"/>
    </row>
    <row r="13" spans="1:43" s="75" customFormat="1" ht="75" x14ac:dyDescent="0.25">
      <c r="A13" s="67">
        <v>58</v>
      </c>
      <c r="B13" s="68" t="str">
        <f t="shared" si="0"/>
        <v/>
      </c>
      <c r="C13" s="69">
        <f t="shared" si="1"/>
        <v>3</v>
      </c>
      <c r="D13" s="20"/>
      <c r="E13" s="86" t="str">
        <f t="shared" si="2"/>
        <v/>
      </c>
      <c r="F13" s="147" t="str">
        <f t="shared" si="3"/>
        <v>Root cause analysis should include: identifying the real root causes of exposures; evaluating potential business impact; identifying more endemic or fundamental root causes; involving qualified, experienced security professionals to help define corrective action strategy and plans.</v>
      </c>
      <c r="G13" s="177"/>
      <c r="H13" s="177"/>
      <c r="I13" s="71"/>
      <c r="J13" s="69"/>
      <c r="K13" s="69"/>
      <c r="L13" s="69"/>
      <c r="M13" s="69"/>
      <c r="N13" s="69"/>
      <c r="O13" s="69"/>
      <c r="P13" s="69"/>
      <c r="Q13" s="69"/>
      <c r="R13" s="69"/>
      <c r="S13" s="69"/>
      <c r="T13" s="76"/>
      <c r="U13" s="76"/>
      <c r="V13" s="76"/>
      <c r="W13" s="76"/>
      <c r="X13" s="76"/>
      <c r="Z13" s="74"/>
      <c r="AA13" s="74"/>
      <c r="AB13" s="74"/>
      <c r="AC13" s="74"/>
      <c r="AD13" s="81"/>
      <c r="AE13" s="81"/>
      <c r="AF13" s="81"/>
      <c r="AG13" s="77"/>
      <c r="AH13" s="81"/>
      <c r="AI13" s="77"/>
      <c r="AJ13" s="74"/>
      <c r="AK13" s="74"/>
      <c r="AL13" s="74"/>
      <c r="AM13" s="74"/>
      <c r="AN13" s="74"/>
      <c r="AO13" s="74"/>
      <c r="AP13" s="74"/>
      <c r="AQ13" s="74"/>
    </row>
    <row r="14" spans="1:43" s="75" customFormat="1" ht="30" customHeight="1" x14ac:dyDescent="0.25">
      <c r="A14" s="67">
        <v>59</v>
      </c>
      <c r="B14" s="68" t="str">
        <f t="shared" si="0"/>
        <v>C.3</v>
      </c>
      <c r="C14" s="69">
        <f t="shared" si="1"/>
        <v>2</v>
      </c>
      <c r="D14" s="20"/>
      <c r="E14" s="105" t="str">
        <f t="shared" si="2"/>
        <v>Step 3</v>
      </c>
      <c r="F14" s="102" t="str">
        <f t="shared" si="3"/>
        <v>Initiate improvement programme</v>
      </c>
      <c r="G14" s="175" t="str">
        <f ca="1">"Maturity level:  "&amp;O14</f>
        <v>Maturity level:  Level 1</v>
      </c>
      <c r="H14" s="176"/>
      <c r="I14" s="153"/>
      <c r="J14" s="101"/>
      <c r="K14" s="101"/>
      <c r="L14" s="101" t="str">
        <f>TEXT(B14,"0.0")</f>
        <v>C.3</v>
      </c>
      <c r="M14" s="100">
        <f ca="1">SUMIF(Y:Y,L14,G:G)/(SUMIF(Y:Y,L14,X:X))</f>
        <v>0</v>
      </c>
      <c r="N14" s="100" t="str">
        <f ca="1">HLOOKUP(M14*100,level_ref,2,TRUE)</f>
        <v>Level 1</v>
      </c>
      <c r="O14" s="100" t="str">
        <f ca="1">IF(ISERROR(N14),"",N14)</f>
        <v>Level 1</v>
      </c>
      <c r="P14" s="100">
        <f ca="1">HLOOKUP(M14*100,level_ref,3,TRUE)</f>
        <v>1</v>
      </c>
      <c r="Q14" s="100">
        <f ca="1">IF(ISERROR(P14),"",P14)</f>
        <v>1</v>
      </c>
      <c r="R14" s="100">
        <f ca="1">M14*5</f>
        <v>0</v>
      </c>
      <c r="S14" s="100"/>
      <c r="T14" s="100"/>
      <c r="U14" s="100" t="str">
        <f ca="1">IF(AND(C14&gt;4,VLOOKUP(A14,Assess_C_Reference,34,FALSE)&lt;&gt;8),LEFT(B14,3),"")</f>
        <v/>
      </c>
      <c r="V14" s="100">
        <f ca="1">VLOOKUP(A14,Weightings_Assessments,24,FALSE)</f>
        <v>0</v>
      </c>
      <c r="W14" s="100">
        <f ca="1">IF(VLOOKUP(A14,Assess_C_Reference,34,FALSE)=8,0,1)</f>
        <v>1</v>
      </c>
      <c r="X14" s="100">
        <f ca="1">W14*V14*4</f>
        <v>0</v>
      </c>
      <c r="Y14" s="75" t="str">
        <f ca="1">AG14&amp;U14</f>
        <v/>
      </c>
      <c r="Z14" s="74"/>
      <c r="AA14" s="74"/>
      <c r="AB14" s="74"/>
      <c r="AC14" s="74"/>
      <c r="AD14" s="81"/>
      <c r="AE14" s="81"/>
      <c r="AF14" s="81"/>
      <c r="AG14" s="77"/>
      <c r="AH14" s="81"/>
      <c r="AI14" s="77"/>
      <c r="AJ14" s="74"/>
      <c r="AK14" s="74"/>
      <c r="AL14" s="74"/>
      <c r="AM14" s="74"/>
      <c r="AN14" s="74"/>
      <c r="AO14" s="74"/>
      <c r="AP14" s="74"/>
      <c r="AQ14" s="74"/>
    </row>
    <row r="15" spans="1:43" s="75" customFormat="1" ht="30" x14ac:dyDescent="0.25">
      <c r="A15" s="67">
        <v>60</v>
      </c>
      <c r="B15" s="68" t="str">
        <f t="shared" si="0"/>
        <v>C.3.01</v>
      </c>
      <c r="C15" s="69">
        <f t="shared" si="1"/>
        <v>5</v>
      </c>
      <c r="D15" s="20"/>
      <c r="E15" s="86" t="str">
        <f t="shared" si="2"/>
        <v>C.3.01</v>
      </c>
      <c r="F15" s="71" t="str">
        <f t="shared" si="3"/>
        <v>On completion of penetration tests, is an improvement programme initiated?</v>
      </c>
      <c r="G15" s="177" t="str">
        <f ca="1">VLOOKUP($A15,Assess_C_Reference,15,FALSE)</f>
        <v/>
      </c>
      <c r="H15" s="177">
        <f ca="1">(VLOOKUP(LEFT($B15,3),targets_lookup,5,FALSE))*VLOOKUP($A15,Weightings_Assessments,23,FALSE)</f>
        <v>2</v>
      </c>
      <c r="I15" s="71" t="str">
        <f ca="1">IF(VLOOKUP(A15,Assess_C_Reference,16,FALSE)=0,"",VLOOKUP(A15,Assess_C_Reference,16,FALSE))</f>
        <v/>
      </c>
      <c r="J15" s="69"/>
      <c r="K15" s="69"/>
      <c r="L15" s="69"/>
      <c r="M15" s="69"/>
      <c r="N15" s="69"/>
      <c r="O15" s="69"/>
      <c r="P15" s="69"/>
      <c r="Q15" s="69"/>
      <c r="R15" s="69"/>
      <c r="S15" s="69"/>
      <c r="T15" s="76"/>
      <c r="U15" s="100" t="str">
        <f ca="1">IF(AND(C15&gt;4,VLOOKUP(A15,Assess_C_Reference,34,FALSE)&lt;&gt;8),LEFT(B15,3),"")</f>
        <v>C.3</v>
      </c>
      <c r="V15" s="100">
        <f ca="1">VLOOKUP(A15,Weightings_Assessments,24,FALSE)</f>
        <v>1</v>
      </c>
      <c r="W15" s="100">
        <f ca="1">IF(VLOOKUP(A15,Assess_C_Reference,34,FALSE)=8,0,1)</f>
        <v>1</v>
      </c>
      <c r="X15" s="100">
        <f ca="1">W15*V15*4</f>
        <v>4</v>
      </c>
      <c r="Y15" s="75" t="str">
        <f ca="1">AG15&amp;U15</f>
        <v>C.3</v>
      </c>
      <c r="Z15" s="74"/>
      <c r="AA15" s="74"/>
      <c r="AB15" s="74"/>
      <c r="AC15" s="74"/>
      <c r="AD15" s="81"/>
      <c r="AE15" s="81"/>
      <c r="AF15" s="81"/>
      <c r="AG15" s="77"/>
      <c r="AH15" s="81"/>
      <c r="AI15" s="77"/>
      <c r="AJ15" s="74"/>
      <c r="AK15" s="74"/>
      <c r="AL15" s="74"/>
      <c r="AM15" s="74"/>
      <c r="AN15" s="74"/>
      <c r="AO15" s="74"/>
      <c r="AP15" s="74"/>
      <c r="AQ15" s="74"/>
    </row>
    <row r="16" spans="1:43" s="75" customFormat="1" ht="75" x14ac:dyDescent="0.25">
      <c r="A16" s="67">
        <v>61</v>
      </c>
      <c r="B16" s="68" t="str">
        <f t="shared" si="0"/>
        <v/>
      </c>
      <c r="C16" s="69">
        <f t="shared" si="1"/>
        <v>3</v>
      </c>
      <c r="D16" s="20"/>
      <c r="E16" s="86" t="str">
        <f t="shared" si="2"/>
        <v/>
      </c>
      <c r="F16" s="147" t="str">
        <f t="shared" si="3"/>
        <v>The improvement programme should be carried out in a structured / systematic manner: addressing root causes of weakness; evaluating penetration testing effectiveness; identifying lessons learned; applying good practice enterprise-wide; creating and monitoring action plans; and agreeing approaches for future testing.</v>
      </c>
      <c r="G16" s="177"/>
      <c r="H16" s="177"/>
      <c r="I16" s="71"/>
      <c r="J16" s="69"/>
      <c r="K16" s="69"/>
      <c r="L16" s="69"/>
      <c r="M16" s="69"/>
      <c r="N16" s="69"/>
      <c r="O16" s="69"/>
      <c r="P16" s="69"/>
      <c r="Q16" s="69"/>
      <c r="R16" s="69"/>
      <c r="S16" s="69"/>
      <c r="T16" s="76"/>
      <c r="U16" s="76"/>
      <c r="V16" s="76"/>
      <c r="W16" s="76"/>
      <c r="X16" s="76"/>
      <c r="Z16" s="74"/>
      <c r="AA16" s="74"/>
      <c r="AB16" s="74"/>
      <c r="AC16" s="74"/>
      <c r="AD16" s="81"/>
      <c r="AE16" s="81"/>
      <c r="AF16" s="81"/>
      <c r="AG16" s="77"/>
      <c r="AH16" s="81"/>
      <c r="AI16" s="77"/>
      <c r="AJ16" s="74"/>
      <c r="AK16" s="74"/>
      <c r="AL16" s="74"/>
      <c r="AM16" s="74"/>
      <c r="AN16" s="74"/>
      <c r="AO16" s="74"/>
      <c r="AP16" s="74"/>
      <c r="AQ16" s="74"/>
    </row>
    <row r="17" spans="1:43" s="75" customFormat="1" ht="30" customHeight="1" x14ac:dyDescent="0.25">
      <c r="A17" s="67">
        <v>62</v>
      </c>
      <c r="B17" s="68" t="str">
        <f t="shared" si="0"/>
        <v>C.4</v>
      </c>
      <c r="C17" s="69">
        <f t="shared" si="1"/>
        <v>2</v>
      </c>
      <c r="D17" s="20"/>
      <c r="E17" s="105" t="str">
        <f t="shared" si="2"/>
        <v>Step 4</v>
      </c>
      <c r="F17" s="102" t="str">
        <f t="shared" si="3"/>
        <v>Evaluate penetration testing effectiveness</v>
      </c>
      <c r="G17" s="175" t="str">
        <f ca="1">"Maturity level:  "&amp;O17</f>
        <v>Maturity level:  Level 1</v>
      </c>
      <c r="H17" s="176"/>
      <c r="I17" s="153"/>
      <c r="J17" s="101"/>
      <c r="K17" s="101"/>
      <c r="L17" s="101" t="str">
        <f>TEXT(B17,"0.0")</f>
        <v>C.4</v>
      </c>
      <c r="M17" s="100">
        <f ca="1">SUMIF(Y:Y,L17,G:G)/(SUMIF(Y:Y,L17,X:X))</f>
        <v>0</v>
      </c>
      <c r="N17" s="100" t="str">
        <f ca="1">HLOOKUP(M17*100,level_ref,2,TRUE)</f>
        <v>Level 1</v>
      </c>
      <c r="O17" s="100" t="str">
        <f ca="1">IF(ISERROR(N17),"",N17)</f>
        <v>Level 1</v>
      </c>
      <c r="P17" s="100">
        <f ca="1">HLOOKUP(M17*100,level_ref,3,TRUE)</f>
        <v>1</v>
      </c>
      <c r="Q17" s="100">
        <f ca="1">IF(ISERROR(P17),"",P17)</f>
        <v>1</v>
      </c>
      <c r="R17" s="100">
        <f ca="1">M17*5</f>
        <v>0</v>
      </c>
      <c r="S17" s="100"/>
      <c r="T17" s="100"/>
      <c r="U17" s="100" t="str">
        <f ca="1">IF(AND(C17&gt;4,VLOOKUP(A17,Assess_C_Reference,34,FALSE)&lt;&gt;8),LEFT(B17,3),"")</f>
        <v/>
      </c>
      <c r="V17" s="100">
        <f ca="1">VLOOKUP(A17,Weightings_Assessments,24,FALSE)</f>
        <v>0</v>
      </c>
      <c r="W17" s="100">
        <f ca="1">IF(VLOOKUP(A17,Assess_C_Reference,34,FALSE)=8,0,1)</f>
        <v>1</v>
      </c>
      <c r="X17" s="100">
        <f ca="1">W17*V17*4</f>
        <v>0</v>
      </c>
      <c r="Y17" s="75" t="str">
        <f ca="1">AG17&amp;U17</f>
        <v/>
      </c>
      <c r="Z17" s="74"/>
      <c r="AA17" s="74"/>
      <c r="AB17" s="74"/>
      <c r="AC17" s="74"/>
      <c r="AD17" s="81"/>
      <c r="AE17" s="81"/>
      <c r="AF17" s="81"/>
      <c r="AG17" s="77"/>
      <c r="AH17" s="81"/>
      <c r="AI17" s="77"/>
      <c r="AJ17" s="74"/>
      <c r="AK17" s="74"/>
      <c r="AL17" s="74"/>
      <c r="AM17" s="74"/>
      <c r="AN17" s="74"/>
      <c r="AO17" s="74"/>
      <c r="AP17" s="74"/>
      <c r="AQ17" s="74"/>
    </row>
    <row r="18" spans="1:43" s="75" customFormat="1" ht="30" customHeight="1" x14ac:dyDescent="0.25">
      <c r="A18" s="67">
        <v>63</v>
      </c>
      <c r="B18" s="68" t="str">
        <f t="shared" si="0"/>
        <v>C.4.01</v>
      </c>
      <c r="C18" s="69">
        <f t="shared" si="1"/>
        <v>5</v>
      </c>
      <c r="D18" s="20"/>
      <c r="E18" s="86" t="str">
        <f t="shared" si="2"/>
        <v>C.4.01</v>
      </c>
      <c r="F18" s="71" t="str">
        <f t="shared" si="3"/>
        <v>Is the effectiveness of your penetration tests evaluated?</v>
      </c>
      <c r="G18" s="177" t="str">
        <f ca="1">VLOOKUP($A18,Assess_C_Reference,15,FALSE)</f>
        <v/>
      </c>
      <c r="H18" s="177">
        <f ca="1">(VLOOKUP(LEFT($B18,3),targets_lookup,5,FALSE))*VLOOKUP($A18,Weightings_Assessments,23,FALSE)</f>
        <v>2</v>
      </c>
      <c r="I18" s="71" t="str">
        <f ca="1">IF(VLOOKUP(A18,Assess_C_Reference,16,FALSE)=0,"",VLOOKUP(A18,Assess_C_Reference,16,FALSE))</f>
        <v/>
      </c>
      <c r="J18" s="69"/>
      <c r="K18" s="69"/>
      <c r="L18" s="69"/>
      <c r="M18" s="69"/>
      <c r="N18" s="69"/>
      <c r="O18" s="69"/>
      <c r="P18" s="69"/>
      <c r="Q18" s="69"/>
      <c r="R18" s="69"/>
      <c r="S18" s="69"/>
      <c r="T18" s="76"/>
      <c r="U18" s="100" t="str">
        <f ca="1">IF(AND(C18&gt;4,VLOOKUP(A18,Assess_C_Reference,34,FALSE)&lt;&gt;8),LEFT(B18,3),"")</f>
        <v>C.4</v>
      </c>
      <c r="V18" s="100">
        <f ca="1">VLOOKUP(A18,Weightings_Assessments,24,FALSE)</f>
        <v>1</v>
      </c>
      <c r="W18" s="100">
        <f ca="1">IF(VLOOKUP(A18,Assess_C_Reference,34,FALSE)=8,0,1)</f>
        <v>1</v>
      </c>
      <c r="X18" s="100">
        <f ca="1">W18*V18*4</f>
        <v>4</v>
      </c>
      <c r="Y18" s="75" t="str">
        <f ca="1">AG18&amp;U18</f>
        <v>C.4</v>
      </c>
      <c r="Z18" s="74"/>
      <c r="AA18" s="74"/>
      <c r="AB18" s="74"/>
      <c r="AC18" s="74"/>
      <c r="AD18" s="81"/>
      <c r="AE18" s="81"/>
      <c r="AF18" s="81"/>
      <c r="AG18" s="77"/>
      <c r="AH18" s="81"/>
      <c r="AI18" s="77"/>
      <c r="AJ18" s="74"/>
      <c r="AK18" s="74"/>
      <c r="AL18" s="74"/>
      <c r="AM18" s="74"/>
      <c r="AN18" s="74"/>
      <c r="AO18" s="74"/>
      <c r="AP18" s="74"/>
      <c r="AQ18" s="74"/>
    </row>
    <row r="19" spans="1:43" s="75" customFormat="1" ht="75" x14ac:dyDescent="0.25">
      <c r="A19" s="67">
        <v>64</v>
      </c>
      <c r="B19" s="68" t="str">
        <f t="shared" si="0"/>
        <v/>
      </c>
      <c r="C19" s="69">
        <f t="shared" si="1"/>
        <v>3</v>
      </c>
      <c r="D19" s="20"/>
      <c r="E19" s="86" t="str">
        <f t="shared" si="2"/>
        <v/>
      </c>
      <c r="F19" s="147" t="str">
        <f t="shared" si="3"/>
        <v>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v>
      </c>
      <c r="G19" s="177"/>
      <c r="H19" s="177"/>
      <c r="I19" s="71"/>
      <c r="J19" s="69"/>
      <c r="K19" s="69"/>
      <c r="L19" s="69"/>
      <c r="M19" s="69"/>
      <c r="N19" s="69"/>
      <c r="O19" s="69"/>
      <c r="P19" s="69"/>
      <c r="Q19" s="69"/>
      <c r="R19" s="69"/>
      <c r="S19" s="69"/>
      <c r="T19" s="76"/>
      <c r="U19" s="76"/>
      <c r="V19" s="76"/>
      <c r="W19" s="76"/>
      <c r="X19" s="76"/>
      <c r="Z19" s="74"/>
      <c r="AA19" s="74"/>
      <c r="AB19" s="74"/>
      <c r="AC19" s="74"/>
      <c r="AD19" s="81"/>
      <c r="AE19" s="81"/>
      <c r="AF19" s="81"/>
      <c r="AG19" s="77"/>
      <c r="AH19" s="81"/>
      <c r="AI19" s="77"/>
      <c r="AJ19" s="74"/>
      <c r="AK19" s="74"/>
      <c r="AL19" s="74"/>
      <c r="AM19" s="74"/>
      <c r="AN19" s="74"/>
      <c r="AO19" s="74"/>
      <c r="AP19" s="74"/>
      <c r="AQ19" s="74"/>
    </row>
    <row r="20" spans="1:43" s="75" customFormat="1" ht="30" customHeight="1" x14ac:dyDescent="0.25">
      <c r="A20" s="67">
        <v>65</v>
      </c>
      <c r="B20" s="68" t="str">
        <f t="shared" si="0"/>
        <v>C.5</v>
      </c>
      <c r="C20" s="69">
        <f t="shared" si="1"/>
        <v>2</v>
      </c>
      <c r="D20" s="20"/>
      <c r="E20" s="105" t="str">
        <f t="shared" si="2"/>
        <v>Step 5</v>
      </c>
      <c r="F20" s="102" t="str">
        <f t="shared" si="3"/>
        <v>Build on lessons learned</v>
      </c>
      <c r="G20" s="175" t="str">
        <f ca="1">"Maturity level:  "&amp;O20</f>
        <v>Maturity level:  Level 1</v>
      </c>
      <c r="H20" s="176"/>
      <c r="I20" s="153"/>
      <c r="J20" s="101"/>
      <c r="K20" s="101"/>
      <c r="L20" s="101" t="str">
        <f>TEXT(B20,"0.0")</f>
        <v>C.5</v>
      </c>
      <c r="M20" s="100">
        <f ca="1">SUMIF(Y:Y,L20,G:G)/(SUMIF(Y:Y,L20,X:X))</f>
        <v>0</v>
      </c>
      <c r="N20" s="100" t="str">
        <f ca="1">HLOOKUP(M20*100,level_ref,2,TRUE)</f>
        <v>Level 1</v>
      </c>
      <c r="O20" s="100" t="str">
        <f ca="1">IF(ISERROR(N20),"",N20)</f>
        <v>Level 1</v>
      </c>
      <c r="P20" s="100">
        <f ca="1">HLOOKUP(M20*100,level_ref,3,TRUE)</f>
        <v>1</v>
      </c>
      <c r="Q20" s="100">
        <f ca="1">IF(ISERROR(P20),"",P20)</f>
        <v>1</v>
      </c>
      <c r="R20" s="100">
        <f ca="1">M20*5</f>
        <v>0</v>
      </c>
      <c r="S20" s="100"/>
      <c r="T20" s="100"/>
      <c r="U20" s="100" t="str">
        <f ca="1">IF(AND(C20&gt;4,VLOOKUP(A20,Assess_C_Reference,34,FALSE)&lt;&gt;8),LEFT(B20,3),"")</f>
        <v/>
      </c>
      <c r="V20" s="100">
        <f ca="1">VLOOKUP(A20,Weightings_Assessments,24,FALSE)</f>
        <v>0</v>
      </c>
      <c r="W20" s="100">
        <f ca="1">IF(VLOOKUP(A20,Assess_C_Reference,34,FALSE)=8,0,1)</f>
        <v>1</v>
      </c>
      <c r="X20" s="100">
        <f ca="1">W20*V20*4</f>
        <v>0</v>
      </c>
      <c r="Y20" s="75" t="str">
        <f ca="1">AG20&amp;U20</f>
        <v/>
      </c>
      <c r="Z20" s="74"/>
      <c r="AA20" s="74"/>
      <c r="AB20" s="74"/>
      <c r="AC20" s="74"/>
      <c r="AD20" s="81"/>
      <c r="AE20" s="81"/>
      <c r="AF20" s="81"/>
      <c r="AG20" s="77"/>
      <c r="AH20" s="81"/>
      <c r="AI20" s="77"/>
      <c r="AJ20" s="74"/>
      <c r="AK20" s="74"/>
      <c r="AL20" s="74"/>
      <c r="AM20" s="74"/>
      <c r="AN20" s="74"/>
      <c r="AO20" s="74"/>
      <c r="AP20" s="74"/>
      <c r="AQ20" s="74"/>
    </row>
    <row r="21" spans="1:43" s="75" customFormat="1" ht="45" x14ac:dyDescent="0.25">
      <c r="A21" s="67">
        <v>66</v>
      </c>
      <c r="B21" s="68" t="str">
        <f t="shared" si="0"/>
        <v>C.5.01</v>
      </c>
      <c r="C21" s="69">
        <f t="shared" si="1"/>
        <v>5</v>
      </c>
      <c r="D21" s="20"/>
      <c r="E21" s="86" t="str">
        <f t="shared" si="2"/>
        <v>C.5.01</v>
      </c>
      <c r="F21" s="71" t="str">
        <f t="shared" si="3"/>
        <v>Does your penetration testing approach include identifying, recording, analysing and acting upon lessons learned, ensuring good practices are applied to other environments?</v>
      </c>
      <c r="G21" s="177" t="str">
        <f ca="1">VLOOKUP($A21,Assess_C_Reference,15,FALSE)</f>
        <v/>
      </c>
      <c r="H21" s="177">
        <f ca="1">(VLOOKUP(LEFT($B21,3),targets_lookup,5,FALSE))*VLOOKUP($A21,Weightings_Assessments,23,FALSE)</f>
        <v>2</v>
      </c>
      <c r="I21" s="71" t="str">
        <f ca="1">IF(VLOOKUP(A21,Assess_C_Reference,16,FALSE)=0,"",VLOOKUP(A21,Assess_C_Reference,16,FALSE))</f>
        <v/>
      </c>
      <c r="J21" s="69"/>
      <c r="K21" s="69"/>
      <c r="L21" s="69"/>
      <c r="M21" s="69"/>
      <c r="N21" s="69"/>
      <c r="O21" s="69"/>
      <c r="P21" s="69"/>
      <c r="Q21" s="69"/>
      <c r="R21" s="69"/>
      <c r="S21" s="69"/>
      <c r="T21" s="76"/>
      <c r="U21" s="100" t="str">
        <f ca="1">IF(AND(C21&gt;4,VLOOKUP(A21,Assess_C_Reference,34,FALSE)&lt;&gt;8),LEFT(B21,3),"")</f>
        <v>C.5</v>
      </c>
      <c r="V21" s="100">
        <f ca="1">VLOOKUP(A21,Weightings_Assessments,24,FALSE)</f>
        <v>1</v>
      </c>
      <c r="W21" s="100">
        <f ca="1">IF(VLOOKUP(A21,Assess_C_Reference,34,FALSE)=8,0,1)</f>
        <v>1</v>
      </c>
      <c r="X21" s="100">
        <f ca="1">W21*V21*4</f>
        <v>4</v>
      </c>
      <c r="Y21" s="75" t="str">
        <f ca="1">AG21&amp;U21</f>
        <v>C.5</v>
      </c>
      <c r="Z21" s="74"/>
      <c r="AA21" s="74"/>
      <c r="AB21" s="74"/>
      <c r="AC21" s="74"/>
      <c r="AD21" s="81"/>
      <c r="AE21" s="81"/>
      <c r="AF21" s="81"/>
      <c r="AG21" s="77"/>
      <c r="AH21" s="81"/>
      <c r="AI21" s="77"/>
      <c r="AJ21" s="74"/>
      <c r="AK21" s="74"/>
      <c r="AL21" s="74"/>
      <c r="AM21" s="74"/>
      <c r="AN21" s="74"/>
      <c r="AO21" s="74"/>
      <c r="AP21" s="74"/>
      <c r="AQ21" s="74"/>
    </row>
    <row r="22" spans="1:43" s="75" customFormat="1" ht="105" x14ac:dyDescent="0.25">
      <c r="A22" s="67">
        <v>67</v>
      </c>
      <c r="B22" s="68" t="str">
        <f t="shared" si="0"/>
        <v/>
      </c>
      <c r="C22" s="69">
        <f t="shared" si="1"/>
        <v>3</v>
      </c>
      <c r="D22" s="20"/>
      <c r="E22" s="86" t="str">
        <f t="shared" si="2"/>
        <v/>
      </c>
      <c r="F22" s="147" t="str">
        <f t="shared" si="3"/>
        <v>Lessons learned before, during and after penetration tests have been conducted should be used to help in planning future tests and provide feedback to service providers to help them improve processes. Good practices identified as a result of penetration tests conducted for one environment should be applied to a wide range of other environments, and rolled out in a consistent and effective manner, fixing root causes endemically.</v>
      </c>
      <c r="G22" s="177"/>
      <c r="H22" s="177"/>
      <c r="I22" s="71"/>
      <c r="J22" s="69"/>
      <c r="K22" s="69"/>
      <c r="L22" s="69"/>
      <c r="M22" s="69"/>
      <c r="N22" s="69"/>
      <c r="O22" s="69"/>
      <c r="P22" s="69"/>
      <c r="Q22" s="69"/>
      <c r="R22" s="69"/>
      <c r="S22" s="69"/>
      <c r="T22" s="76"/>
      <c r="U22" s="76"/>
      <c r="V22" s="76"/>
      <c r="W22" s="76"/>
      <c r="X22" s="76"/>
      <c r="Z22" s="74"/>
      <c r="AA22" s="74"/>
      <c r="AB22" s="74"/>
      <c r="AC22" s="74"/>
      <c r="AD22" s="81"/>
      <c r="AE22" s="81"/>
      <c r="AF22" s="81"/>
      <c r="AG22" s="77"/>
      <c r="AH22" s="81"/>
      <c r="AI22" s="77"/>
      <c r="AJ22" s="74"/>
      <c r="AK22" s="74"/>
      <c r="AL22" s="74"/>
      <c r="AM22" s="74"/>
      <c r="AN22" s="74"/>
      <c r="AO22" s="74"/>
      <c r="AP22" s="74"/>
      <c r="AQ22" s="74"/>
    </row>
    <row r="23" spans="1:43" s="75" customFormat="1" ht="30" customHeight="1" x14ac:dyDescent="0.25">
      <c r="A23" s="67">
        <v>68</v>
      </c>
      <c r="B23" s="68" t="str">
        <f t="shared" si="0"/>
        <v>C.6</v>
      </c>
      <c r="C23" s="69">
        <f t="shared" si="1"/>
        <v>2</v>
      </c>
      <c r="D23" s="20"/>
      <c r="E23" s="105" t="str">
        <f t="shared" si="2"/>
        <v>Step 6</v>
      </c>
      <c r="F23" s="102" t="str">
        <f t="shared" si="3"/>
        <v>Create and monitor action plans</v>
      </c>
      <c r="G23" s="175" t="str">
        <f ca="1">"Maturity level:  "&amp;O23</f>
        <v>Maturity level:  Level 1</v>
      </c>
      <c r="H23" s="176"/>
      <c r="I23" s="153"/>
      <c r="J23" s="101"/>
      <c r="K23" s="101"/>
      <c r="L23" s="101" t="str">
        <f>TEXT(B23,"0.0")</f>
        <v>C.6</v>
      </c>
      <c r="M23" s="100">
        <f ca="1">SUMIF(Y:Y,L23,G:G)/(SUMIF(Y:Y,L23,X:X))</f>
        <v>0</v>
      </c>
      <c r="N23" s="100" t="str">
        <f ca="1">HLOOKUP(M23*100,level_ref,2,TRUE)</f>
        <v>Level 1</v>
      </c>
      <c r="O23" s="100" t="str">
        <f ca="1">IF(ISERROR(N23),"",N23)</f>
        <v>Level 1</v>
      </c>
      <c r="P23" s="100">
        <f ca="1">HLOOKUP(M23*100,level_ref,3,TRUE)</f>
        <v>1</v>
      </c>
      <c r="Q23" s="100">
        <f ca="1">IF(ISERROR(P23),"",P23)</f>
        <v>1</v>
      </c>
      <c r="R23" s="100">
        <f ca="1">M23*5</f>
        <v>0</v>
      </c>
      <c r="S23" s="100"/>
      <c r="T23" s="100"/>
      <c r="U23" s="100" t="str">
        <f ca="1">IF(AND(C23&gt;4,VLOOKUP(A23,Assess_C_Reference,34,FALSE)&lt;&gt;8),LEFT(B23,3),"")</f>
        <v/>
      </c>
      <c r="V23" s="100">
        <f ca="1">VLOOKUP(A23,Weightings_Assessments,24,FALSE)</f>
        <v>0</v>
      </c>
      <c r="W23" s="100">
        <f ca="1">IF(VLOOKUP(A23,Assess_C_Reference,34,FALSE)=8,0,1)</f>
        <v>1</v>
      </c>
      <c r="X23" s="100">
        <f ca="1">W23*V23*4</f>
        <v>0</v>
      </c>
      <c r="Y23" s="75" t="str">
        <f ca="1">AG23&amp;U23</f>
        <v/>
      </c>
      <c r="Z23" s="74"/>
      <c r="AA23" s="74"/>
      <c r="AB23" s="74"/>
      <c r="AC23" s="74"/>
      <c r="AD23" s="81"/>
      <c r="AE23" s="81"/>
      <c r="AF23" s="81"/>
      <c r="AG23" s="77"/>
      <c r="AH23" s="81"/>
      <c r="AI23" s="77"/>
      <c r="AJ23" s="74"/>
      <c r="AK23" s="74"/>
      <c r="AL23" s="74"/>
      <c r="AM23" s="74"/>
      <c r="AN23" s="74"/>
      <c r="AO23" s="74"/>
      <c r="AP23" s="74"/>
      <c r="AQ23" s="74"/>
    </row>
    <row r="24" spans="1:43" s="75" customFormat="1" ht="30" x14ac:dyDescent="0.25">
      <c r="A24" s="67">
        <v>69</v>
      </c>
      <c r="B24" s="68" t="str">
        <f t="shared" si="0"/>
        <v>C.6.01</v>
      </c>
      <c r="C24" s="69">
        <f t="shared" si="1"/>
        <v>5</v>
      </c>
      <c r="D24" s="20"/>
      <c r="E24" s="86" t="str">
        <f t="shared" si="2"/>
        <v>C.6.01</v>
      </c>
      <c r="F24" s="71" t="str">
        <f t="shared" si="3"/>
        <v>Are action plans created to help act upon follow-up activities undertaken and used to provide input into the design and scope of future tests?</v>
      </c>
      <c r="G24" s="177" t="str">
        <f ca="1">VLOOKUP($A24,Assess_C_Reference,15,FALSE)</f>
        <v/>
      </c>
      <c r="H24" s="177">
        <f ca="1">(VLOOKUP(LEFT($B24,3),targets_lookup,5,FALSE))*VLOOKUP($A24,Weightings_Assessments,23,FALSE)</f>
        <v>2</v>
      </c>
      <c r="I24" s="71" t="str">
        <f ca="1">IF(VLOOKUP(A24,Assess_C_Reference,16,FALSE)=0,"",VLOOKUP(A24,Assess_C_Reference,16,FALSE))</f>
        <v/>
      </c>
      <c r="J24" s="69"/>
      <c r="K24" s="69"/>
      <c r="L24" s="69"/>
      <c r="M24" s="69"/>
      <c r="N24" s="69"/>
      <c r="O24" s="69"/>
      <c r="P24" s="69"/>
      <c r="Q24" s="69"/>
      <c r="R24" s="69"/>
      <c r="S24" s="69"/>
      <c r="T24" s="76"/>
      <c r="U24" s="100" t="str">
        <f ca="1">IF(AND(C24&gt;4,VLOOKUP(A24,Assess_C_Reference,34,FALSE)&lt;&gt;8),LEFT(B24,3),"")</f>
        <v>C.6</v>
      </c>
      <c r="V24" s="100">
        <f ca="1">VLOOKUP(A24,Weightings_Assessments,24,FALSE)</f>
        <v>1</v>
      </c>
      <c r="W24" s="100">
        <f ca="1">IF(VLOOKUP(A24,Assess_C_Reference,34,FALSE)=8,0,1)</f>
        <v>1</v>
      </c>
      <c r="X24" s="100">
        <f ca="1">W24*V24*4</f>
        <v>4</v>
      </c>
      <c r="Y24" s="75" t="str">
        <f ca="1">AG24&amp;U24</f>
        <v>C.6</v>
      </c>
      <c r="Z24" s="74"/>
      <c r="AA24" s="74"/>
      <c r="AB24" s="74"/>
      <c r="AC24" s="74"/>
      <c r="AD24" s="81"/>
      <c r="AE24" s="81"/>
      <c r="AF24" s="81"/>
      <c r="AG24" s="77"/>
      <c r="AH24" s="81"/>
      <c r="AI24" s="77"/>
      <c r="AJ24" s="74"/>
      <c r="AK24" s="74"/>
      <c r="AL24" s="74"/>
      <c r="AM24" s="74"/>
      <c r="AN24" s="74"/>
      <c r="AO24" s="74"/>
      <c r="AP24" s="74"/>
      <c r="AQ24" s="74"/>
    </row>
    <row r="25" spans="1:43" s="75" customFormat="1" ht="135" x14ac:dyDescent="0.25">
      <c r="A25" s="67">
        <v>70</v>
      </c>
      <c r="B25" s="68" t="str">
        <f t="shared" si="0"/>
        <v/>
      </c>
      <c r="C25" s="69">
        <f t="shared" si="1"/>
        <v>3</v>
      </c>
      <c r="D25" s="20"/>
      <c r="E25" s="86" t="str">
        <f t="shared" si="2"/>
        <v/>
      </c>
      <c r="F25" s="147" t="str">
        <f t="shared" si="3"/>
        <v>Actions plans should: be formally developed and approved; outline all relevant actions to be taken, include relevant details of the actions to be taken, implemented effectively and monitored to ensure progress is being made and that risks are being kept within acceptable limits. Results from penetration tests should be used when considering what to test in the future (e.g. infrastructure, web applications, mobile devices), how future tests should be undertaken; and when (e.g. on a regular basis (e.g. annually); after significant technical or business changes are made: or in response to a major security incident).</v>
      </c>
      <c r="G25" s="177"/>
      <c r="H25" s="177"/>
      <c r="I25" s="71"/>
      <c r="J25" s="69"/>
      <c r="K25" s="69"/>
      <c r="L25" s="69"/>
      <c r="M25" s="69"/>
      <c r="N25" s="69"/>
      <c r="O25" s="69"/>
      <c r="P25" s="69"/>
      <c r="Q25" s="69"/>
      <c r="R25" s="69"/>
      <c r="S25" s="69"/>
      <c r="T25" s="76"/>
      <c r="U25" s="76"/>
      <c r="V25" s="76"/>
      <c r="W25" s="76"/>
      <c r="X25" s="76"/>
      <c r="Z25" s="74"/>
      <c r="AA25" s="74"/>
      <c r="AB25" s="74"/>
      <c r="AC25" s="74"/>
      <c r="AD25" s="81"/>
      <c r="AE25" s="81"/>
      <c r="AF25" s="81"/>
      <c r="AG25" s="77"/>
      <c r="AH25" s="81"/>
      <c r="AI25" s="77"/>
      <c r="AJ25" s="74"/>
      <c r="AK25" s="74"/>
      <c r="AL25" s="74"/>
      <c r="AM25" s="74"/>
      <c r="AN25" s="74"/>
      <c r="AO25" s="74"/>
      <c r="AP25" s="74"/>
      <c r="AQ25" s="74"/>
    </row>
    <row r="26" spans="1:43" x14ac:dyDescent="0.25">
      <c r="Z26" s="135"/>
      <c r="AA26" s="135"/>
      <c r="AB26" s="135"/>
      <c r="AC26" s="135"/>
      <c r="AD26" s="135"/>
      <c r="AE26" s="135"/>
      <c r="AF26" s="135"/>
      <c r="AG26" s="135"/>
      <c r="AH26" s="135"/>
      <c r="AI26" s="135"/>
      <c r="AJ26" s="135"/>
      <c r="AK26" s="135"/>
      <c r="AL26" s="135"/>
      <c r="AM26" s="135"/>
      <c r="AN26" s="135"/>
      <c r="AO26" s="135"/>
      <c r="AP26" s="135"/>
      <c r="AQ26" s="135"/>
    </row>
    <row r="27" spans="1:43" x14ac:dyDescent="0.25">
      <c r="Z27" s="135"/>
      <c r="AA27" s="135"/>
      <c r="AB27" s="135"/>
      <c r="AC27" s="135"/>
      <c r="AD27" s="135"/>
      <c r="AE27" s="135"/>
      <c r="AF27" s="135"/>
      <c r="AG27" s="135"/>
      <c r="AH27" s="135"/>
      <c r="AI27" s="135"/>
      <c r="AJ27" s="135"/>
      <c r="AK27" s="135"/>
      <c r="AL27" s="135"/>
      <c r="AM27" s="135"/>
      <c r="AN27" s="135"/>
      <c r="AO27" s="135"/>
      <c r="AP27" s="135"/>
      <c r="AQ27" s="135"/>
    </row>
    <row r="28" spans="1:43" x14ac:dyDescent="0.25">
      <c r="Z28" s="135"/>
      <c r="AA28" s="135"/>
      <c r="AB28" s="135"/>
      <c r="AC28" s="135"/>
      <c r="AD28" s="135"/>
      <c r="AE28" s="135"/>
      <c r="AF28" s="135"/>
      <c r="AG28" s="135"/>
      <c r="AH28" s="135"/>
      <c r="AI28" s="135"/>
      <c r="AJ28" s="135"/>
      <c r="AK28" s="135"/>
      <c r="AL28" s="135"/>
      <c r="AM28" s="135"/>
      <c r="AN28" s="135"/>
      <c r="AO28" s="135"/>
      <c r="AP28" s="135"/>
      <c r="AQ28" s="135"/>
    </row>
  </sheetData>
  <sheetProtection algorithmName="SHA-512" hashValue="7q7Lk6o7pKKphrJ7/8UvQzSVezhRAURbtatHMfNKolUwfDGmoOSaf/CJzwkn2UEFAf/GVGl0Fayxll7gyncYwA==" saltValue="OM/gX2IKQbj0gxUCgEsKEA==" spinCount="100000" sheet="1" objects="1" scenarios="1"/>
  <mergeCells count="2">
    <mergeCell ref="F2:I3"/>
    <mergeCell ref="F4:I5"/>
  </mergeCells>
  <conditionalFormatting sqref="G8:G25">
    <cfRule type="dataBar" priority="10">
      <dataBar>
        <cfvo type="num" val="0"/>
        <cfvo type="num" val="4"/>
        <color rgb="FF638EC6"/>
      </dataBar>
      <extLst>
        <ext xmlns:x14="http://schemas.microsoft.com/office/spreadsheetml/2009/9/main" uri="{B025F937-C7B1-47D3-B67F-A62EFF666E3E}">
          <x14:id>{C58BC0C2-9BF5-4655-88B4-D1CECC3A9005}</x14:id>
        </ext>
      </extLst>
    </cfRule>
  </conditionalFormatting>
  <conditionalFormatting sqref="H8:H25">
    <cfRule type="dataBar" priority="9">
      <dataBar>
        <cfvo type="num" val="0"/>
        <cfvo type="num" val="4"/>
        <color rgb="FF00B050"/>
      </dataBar>
      <extLst>
        <ext xmlns:x14="http://schemas.microsoft.com/office/spreadsheetml/2009/9/main" uri="{B025F937-C7B1-47D3-B67F-A62EFF666E3E}">
          <x14:id>{BD425282-56E6-4E14-AA3B-963EC76E6E4B}</x14:id>
        </ext>
      </extLst>
    </cfRule>
  </conditionalFormatting>
  <pageMargins left="0.7" right="0.7" top="0.75" bottom="0.75" header="0.3" footer="0.3"/>
  <pageSetup paperSize="9" scale="73"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C58BC0C2-9BF5-4655-88B4-D1CECC3A9005}">
            <x14:dataBar minLength="0" maxLength="100" gradient="0">
              <x14:cfvo type="num">
                <xm:f>0</xm:f>
              </x14:cfvo>
              <x14:cfvo type="num">
                <xm:f>4</xm:f>
              </x14:cfvo>
              <x14:negativeFillColor rgb="FFFF0000"/>
              <x14:axisColor rgb="FF000000"/>
            </x14:dataBar>
          </x14:cfRule>
          <xm:sqref>G8:G25</xm:sqref>
        </x14:conditionalFormatting>
        <x14:conditionalFormatting xmlns:xm="http://schemas.microsoft.com/office/excel/2006/main">
          <x14:cfRule type="dataBar" id="{BD425282-56E6-4E14-AA3B-963EC76E6E4B}">
            <x14:dataBar minLength="0" maxLength="100" gradient="0">
              <x14:cfvo type="num">
                <xm:f>0</xm:f>
              </x14:cfvo>
              <x14:cfvo type="num">
                <xm:f>4</xm:f>
              </x14:cfvo>
              <x14:negativeFillColor rgb="FFFF0000"/>
              <x14:axisColor rgb="FF000000"/>
            </x14:dataBar>
          </x14:cfRule>
          <xm:sqref>H8:H25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B1:O30"/>
  <sheetViews>
    <sheetView workbookViewId="0">
      <pane xSplit="1" topLeftCell="B1" activePane="topRight" state="frozen"/>
      <selection pane="topRight" activeCell="C18" sqref="C18"/>
    </sheetView>
  </sheetViews>
  <sheetFormatPr defaultRowHeight="15" x14ac:dyDescent="0.25"/>
  <cols>
    <col min="1" max="1" width="2.7109375" style="10" customWidth="1"/>
    <col min="2" max="2" width="3" style="10" customWidth="1"/>
    <col min="3" max="3" width="30.85546875" style="10" bestFit="1" customWidth="1"/>
    <col min="4" max="4" width="3.28515625" style="10" customWidth="1"/>
    <col min="5" max="5" width="2.7109375" style="10" customWidth="1"/>
    <col min="6" max="6" width="72.5703125" style="10" bestFit="1" customWidth="1"/>
    <col min="7" max="7" width="2.7109375" style="10" customWidth="1"/>
    <col min="8" max="8" width="26.5703125" style="10" bestFit="1" customWidth="1"/>
    <col min="9" max="9" width="2.7109375" style="10" customWidth="1"/>
    <col min="10" max="10" width="33.42578125" style="10" bestFit="1" customWidth="1"/>
    <col min="11" max="11" width="2.7109375" style="10" customWidth="1"/>
    <col min="12" max="12" width="20.140625" style="10" bestFit="1" customWidth="1"/>
    <col min="13" max="13" width="2.7109375" style="10" customWidth="1"/>
    <col min="14" max="14" width="9.140625" style="10"/>
    <col min="15" max="15" width="17.42578125" style="10" customWidth="1"/>
    <col min="16" max="16384" width="9.140625" style="10"/>
  </cols>
  <sheetData>
    <row r="1" spans="2:15" ht="15.75" thickBot="1" x14ac:dyDescent="0.3">
      <c r="L1" s="295"/>
      <c r="M1" s="295"/>
      <c r="N1" s="295"/>
    </row>
    <row r="2" spans="2:15" ht="15.75" thickBot="1" x14ac:dyDescent="0.3">
      <c r="B2" s="316" t="s">
        <v>232</v>
      </c>
      <c r="C2" s="318"/>
      <c r="D2" s="317"/>
      <c r="L2" s="296"/>
      <c r="M2" s="295"/>
      <c r="N2" s="296"/>
    </row>
    <row r="3" spans="2:15" ht="15.75" thickBot="1" x14ac:dyDescent="0.3">
      <c r="B3" s="234"/>
      <c r="C3" s="235" t="s">
        <v>233</v>
      </c>
      <c r="D3" s="234"/>
      <c r="F3" s="262" t="s">
        <v>234</v>
      </c>
      <c r="H3" s="241" t="s">
        <v>235</v>
      </c>
      <c r="J3" s="241" t="s">
        <v>236</v>
      </c>
      <c r="L3" s="241" t="s">
        <v>238</v>
      </c>
      <c r="M3" s="295"/>
      <c r="N3" s="316" t="s">
        <v>237</v>
      </c>
      <c r="O3" s="317"/>
    </row>
    <row r="4" spans="2:15" x14ac:dyDescent="0.25">
      <c r="B4" s="244">
        <v>1</v>
      </c>
      <c r="C4" s="245" t="s">
        <v>2</v>
      </c>
      <c r="D4" s="246" t="str">
        <f>""</f>
        <v/>
      </c>
      <c r="F4" s="234" t="s">
        <v>224</v>
      </c>
      <c r="H4" s="234" t="s">
        <v>224</v>
      </c>
      <c r="I4" s="202"/>
      <c r="J4" s="234" t="s">
        <v>224</v>
      </c>
      <c r="L4" s="263" t="s">
        <v>9</v>
      </c>
      <c r="M4" s="295"/>
      <c r="N4" s="256">
        <v>1</v>
      </c>
      <c r="O4" s="257" t="str">
        <f>L4</f>
        <v>x 1</v>
      </c>
    </row>
    <row r="5" spans="2:15" x14ac:dyDescent="0.25">
      <c r="B5" s="247">
        <v>2</v>
      </c>
      <c r="C5" s="248" t="s">
        <v>160</v>
      </c>
      <c r="D5" s="249">
        <v>0</v>
      </c>
      <c r="F5" s="250" t="s">
        <v>41</v>
      </c>
      <c r="H5" s="250" t="s">
        <v>110</v>
      </c>
      <c r="I5" s="202"/>
      <c r="J5" s="250" t="s">
        <v>114</v>
      </c>
      <c r="L5" s="264" t="s">
        <v>10</v>
      </c>
      <c r="M5" s="295"/>
      <c r="N5" s="258">
        <v>2</v>
      </c>
      <c r="O5" s="259" t="str">
        <f>L5</f>
        <v>x 2</v>
      </c>
    </row>
    <row r="6" spans="2:15" x14ac:dyDescent="0.25">
      <c r="B6" s="247">
        <v>3</v>
      </c>
      <c r="C6" s="248" t="s">
        <v>161</v>
      </c>
      <c r="D6" s="249">
        <v>1</v>
      </c>
      <c r="F6" s="250" t="s">
        <v>42</v>
      </c>
      <c r="H6" s="250" t="s">
        <v>111</v>
      </c>
      <c r="I6" s="202"/>
      <c r="J6" s="250" t="s">
        <v>115</v>
      </c>
      <c r="L6" s="264" t="s">
        <v>11</v>
      </c>
      <c r="M6" s="295"/>
      <c r="N6" s="258">
        <v>3</v>
      </c>
      <c r="O6" s="259" t="str">
        <f>L6</f>
        <v>x 3</v>
      </c>
    </row>
    <row r="7" spans="2:15" x14ac:dyDescent="0.25">
      <c r="B7" s="247">
        <v>4</v>
      </c>
      <c r="C7" s="248" t="s">
        <v>162</v>
      </c>
      <c r="D7" s="249">
        <v>2</v>
      </c>
      <c r="F7" s="250" t="s">
        <v>43</v>
      </c>
      <c r="H7" s="250" t="s">
        <v>112</v>
      </c>
      <c r="J7" s="250" t="s">
        <v>116</v>
      </c>
      <c r="L7" s="264" t="s">
        <v>73</v>
      </c>
      <c r="M7" s="295"/>
      <c r="N7" s="258">
        <v>4</v>
      </c>
      <c r="O7" s="259" t="str">
        <f>L7</f>
        <v>x 4</v>
      </c>
    </row>
    <row r="8" spans="2:15" ht="15.75" thickBot="1" x14ac:dyDescent="0.3">
      <c r="B8" s="247">
        <v>5</v>
      </c>
      <c r="C8" s="248" t="s">
        <v>163</v>
      </c>
      <c r="D8" s="249">
        <v>3</v>
      </c>
      <c r="F8" s="250" t="s">
        <v>44</v>
      </c>
      <c r="H8" s="251" t="s">
        <v>113</v>
      </c>
      <c r="J8" s="250" t="s">
        <v>117</v>
      </c>
      <c r="L8" s="265" t="s">
        <v>74</v>
      </c>
      <c r="M8" s="295"/>
      <c r="N8" s="260">
        <v>5</v>
      </c>
      <c r="O8" s="261" t="str">
        <f>L8</f>
        <v>x 5</v>
      </c>
    </row>
    <row r="9" spans="2:15" ht="15.75" thickBot="1" x14ac:dyDescent="0.3">
      <c r="B9" s="247">
        <v>6</v>
      </c>
      <c r="C9" s="248" t="s">
        <v>164</v>
      </c>
      <c r="D9" s="249">
        <v>4</v>
      </c>
      <c r="F9" s="250" t="s">
        <v>45</v>
      </c>
      <c r="J9" s="251" t="s">
        <v>118</v>
      </c>
      <c r="M9" s="295"/>
    </row>
    <row r="10" spans="2:15" x14ac:dyDescent="0.25">
      <c r="B10" s="247">
        <v>7</v>
      </c>
      <c r="C10" s="248" t="s">
        <v>1</v>
      </c>
      <c r="D10" s="249">
        <v>0</v>
      </c>
      <c r="F10" s="250" t="s">
        <v>46</v>
      </c>
      <c r="M10" s="295"/>
    </row>
    <row r="11" spans="2:15" ht="15.75" thickBot="1" x14ac:dyDescent="0.3">
      <c r="B11" s="252">
        <v>8</v>
      </c>
      <c r="C11" s="253" t="s">
        <v>35</v>
      </c>
      <c r="D11" s="254" t="str">
        <f>""</f>
        <v/>
      </c>
      <c r="F11" s="250" t="s">
        <v>15</v>
      </c>
      <c r="M11" s="295"/>
    </row>
    <row r="12" spans="2:15" x14ac:dyDescent="0.25">
      <c r="F12" s="250" t="s">
        <v>16</v>
      </c>
      <c r="M12" s="295"/>
    </row>
    <row r="13" spans="2:15" x14ac:dyDescent="0.25">
      <c r="F13" s="250" t="s">
        <v>17</v>
      </c>
      <c r="M13" s="295"/>
    </row>
    <row r="14" spans="2:15" x14ac:dyDescent="0.25">
      <c r="F14" s="250" t="s">
        <v>18</v>
      </c>
      <c r="M14" s="295"/>
    </row>
    <row r="15" spans="2:15" x14ac:dyDescent="0.25">
      <c r="F15" s="250" t="s">
        <v>19</v>
      </c>
    </row>
    <row r="16" spans="2:15" x14ac:dyDescent="0.25">
      <c r="F16" s="250" t="s">
        <v>20</v>
      </c>
    </row>
    <row r="17" spans="6:6" x14ac:dyDescent="0.25">
      <c r="F17" s="250" t="s">
        <v>21</v>
      </c>
    </row>
    <row r="18" spans="6:6" x14ac:dyDescent="0.25">
      <c r="F18" s="250" t="s">
        <v>22</v>
      </c>
    </row>
    <row r="19" spans="6:6" x14ac:dyDescent="0.25">
      <c r="F19" s="250" t="s">
        <v>23</v>
      </c>
    </row>
    <row r="20" spans="6:6" x14ac:dyDescent="0.25">
      <c r="F20" s="250" t="s">
        <v>24</v>
      </c>
    </row>
    <row r="21" spans="6:6" x14ac:dyDescent="0.25">
      <c r="F21" s="250" t="s">
        <v>25</v>
      </c>
    </row>
    <row r="22" spans="6:6" x14ac:dyDescent="0.25">
      <c r="F22" s="250" t="s">
        <v>26</v>
      </c>
    </row>
    <row r="23" spans="6:6" x14ac:dyDescent="0.25">
      <c r="F23" s="250" t="s">
        <v>27</v>
      </c>
    </row>
    <row r="24" spans="6:6" x14ac:dyDescent="0.25">
      <c r="F24" s="250" t="s">
        <v>28</v>
      </c>
    </row>
    <row r="25" spans="6:6" x14ac:dyDescent="0.25">
      <c r="F25" s="250" t="s">
        <v>29</v>
      </c>
    </row>
    <row r="26" spans="6:6" x14ac:dyDescent="0.25">
      <c r="F26" s="250" t="s">
        <v>30</v>
      </c>
    </row>
    <row r="27" spans="6:6" x14ac:dyDescent="0.25">
      <c r="F27" s="250" t="s">
        <v>31</v>
      </c>
    </row>
    <row r="28" spans="6:6" x14ac:dyDescent="0.25">
      <c r="F28" s="250" t="s">
        <v>32</v>
      </c>
    </row>
    <row r="29" spans="6:6" x14ac:dyDescent="0.25">
      <c r="F29" s="250" t="s">
        <v>33</v>
      </c>
    </row>
    <row r="30" spans="6:6" ht="15.75" thickBot="1" x14ac:dyDescent="0.3">
      <c r="F30" s="251" t="s">
        <v>34</v>
      </c>
    </row>
  </sheetData>
  <sheetProtection algorithmName="SHA-512" hashValue="qxmU2sYq41Y6tjYi4o9r+KvS5KLtDzzEd6xWKyWP1k7Pg4zMZNpIyXMQbTP32IR/auaMmcm51HDSrXzLu4/xZA==" saltValue="VKfwdAGvFdLihH3xPKL4lg==" spinCount="100000" sheet="1" objects="1" scenarios="1"/>
  <mergeCells count="2">
    <mergeCell ref="N3:O3"/>
    <mergeCell ref="B2:D2"/>
  </mergeCells>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D30"/>
  <sheetViews>
    <sheetView topLeftCell="F1" workbookViewId="0">
      <selection activeCell="U8" sqref="U8"/>
    </sheetView>
  </sheetViews>
  <sheetFormatPr defaultRowHeight="15" x14ac:dyDescent="0.25"/>
  <cols>
    <col min="1" max="9" width="9.140625" style="13"/>
    <col min="10" max="10" width="9.140625" style="20"/>
    <col min="11" max="13" width="9.140625" style="13"/>
    <col min="14" max="19" width="9.140625" style="242"/>
    <col min="20" max="22" width="9.140625" style="13"/>
    <col min="23" max="27" width="9.140625" style="242"/>
    <col min="28" max="28" width="10.7109375" style="242" customWidth="1"/>
    <col min="30" max="30" width="48.28515625" bestFit="1" customWidth="1"/>
  </cols>
  <sheetData>
    <row r="1" spans="1:30" s="13" customFormat="1" ht="15.75" thickBot="1" x14ac:dyDescent="0.3">
      <c r="A1" s="316" t="s">
        <v>241</v>
      </c>
      <c r="B1" s="318"/>
      <c r="C1" s="318"/>
      <c r="D1" s="318"/>
      <c r="E1" s="318"/>
      <c r="F1" s="317"/>
      <c r="J1" s="20"/>
      <c r="N1" s="242"/>
      <c r="O1" s="242"/>
      <c r="P1" s="242"/>
      <c r="Q1" s="319" t="s">
        <v>239</v>
      </c>
      <c r="R1" s="320"/>
      <c r="S1" s="321"/>
      <c r="W1" s="242"/>
      <c r="X1" s="242"/>
      <c r="Y1" s="242"/>
      <c r="Z1" s="242"/>
      <c r="AA1" s="242"/>
      <c r="AB1" s="316" t="s">
        <v>240</v>
      </c>
      <c r="AC1" s="318"/>
      <c r="AD1" s="317"/>
    </row>
    <row r="2" spans="1:30" ht="15.75" thickBot="1" x14ac:dyDescent="0.3">
      <c r="A2" s="276" t="s">
        <v>14</v>
      </c>
      <c r="B2" s="277"/>
      <c r="C2" s="277"/>
      <c r="D2" s="277"/>
      <c r="E2" s="277"/>
      <c r="F2" s="278"/>
      <c r="L2" s="266" t="str">
        <f>IF(SUMIF(N:N,H2,U:U)=0,"",SUMIF(N:N,H2,U:U)/(MAX(T:T)*COUNTIF(N:N,H2)))</f>
        <v/>
      </c>
      <c r="M2" s="266" t="str">
        <f>IF(ISERROR(L2),"",L2)</f>
        <v/>
      </c>
      <c r="N2" s="242" t="s">
        <v>90</v>
      </c>
      <c r="O2" s="242">
        <v>1</v>
      </c>
      <c r="P2" s="242">
        <v>1</v>
      </c>
      <c r="Q2" s="267" t="str">
        <f>N2&amp;"."&amp;O2</f>
        <v>A.1</v>
      </c>
      <c r="R2" s="268">
        <f ca="1">VLOOKUP(Q2,INDIRECT("Results_"&amp;N2&amp;"_Reference"),16,FALSE)</f>
        <v>1</v>
      </c>
      <c r="S2" s="269">
        <f ca="1">VLOOKUP(Q2,INDIRECT("Results_"&amp;N2&amp;"_Reference"),17,FALSE)</f>
        <v>0</v>
      </c>
      <c r="W2" s="271">
        <v>1</v>
      </c>
      <c r="X2" s="242">
        <v>1</v>
      </c>
      <c r="Y2" s="242" t="str">
        <f t="shared" ref="Y2:Y25" si="0">VLOOKUP(W2,contentrefmockup,3,FALSE)</f>
        <v>A</v>
      </c>
      <c r="Z2" s="242">
        <f t="shared" ref="Z2:Z25" si="1">VLOOKUP(W2,contentrefmockup,4,FALSE)</f>
        <v>0</v>
      </c>
      <c r="AB2" s="267" t="str">
        <f>IF(X2=1,Y2,Y2&amp;"."&amp;Z2)</f>
        <v>A</v>
      </c>
      <c r="AC2" s="236" t="str">
        <f t="shared" ref="AC2:AC26" si="2">VLOOKUP(X2,Content_Headings,2,FALSE)&amp;" "&amp;IF(Z2=0,Y2,Z2)</f>
        <v>Stage A</v>
      </c>
      <c r="AD2" s="237" t="str">
        <f t="shared" ref="AD2:AD25" si="3">VLOOKUP(W2,contentrefmockup,7,FALSE)</f>
        <v>Preparation</v>
      </c>
    </row>
    <row r="3" spans="1:30" x14ac:dyDescent="0.25">
      <c r="L3" s="266" t="str">
        <f>IF(SUMIF(N:N,H3,U:U)=0,"",SUMIF(N:N,H3,U:U)/(MAX(T:T)*COUNTIF(N:N,H3)))</f>
        <v/>
      </c>
      <c r="M3" s="266" t="str">
        <f>IF(ISERROR(L3),"",L3)</f>
        <v/>
      </c>
      <c r="N3" s="242" t="s">
        <v>90</v>
      </c>
      <c r="O3" s="242">
        <v>2</v>
      </c>
      <c r="P3" s="242">
        <v>2</v>
      </c>
      <c r="Q3" s="270" t="str">
        <f t="shared" ref="Q3:Q12" si="4">N3&amp;"."&amp;O3</f>
        <v>A.2</v>
      </c>
      <c r="R3" s="271">
        <f t="shared" ref="R3:R23" ca="1" si="5">VLOOKUP(Q3,INDIRECT("Results_"&amp;N3&amp;"_Reference"),16,FALSE)</f>
        <v>1</v>
      </c>
      <c r="S3" s="272">
        <f t="shared" ref="S3:S23" ca="1" si="6">VLOOKUP(Q3,INDIRECT("Results_"&amp;N3&amp;"_Reference"),17,FALSE)</f>
        <v>0</v>
      </c>
      <c r="W3" s="271">
        <v>2</v>
      </c>
      <c r="X3" s="242">
        <v>2</v>
      </c>
      <c r="Y3" s="242" t="str">
        <f t="shared" si="0"/>
        <v>A</v>
      </c>
      <c r="Z3" s="242">
        <f t="shared" si="1"/>
        <v>1</v>
      </c>
      <c r="AB3" s="270" t="str">
        <f t="shared" ref="AB3:AB15" si="7">IF(X3=1,Y3,Y3&amp;"."&amp;Z3)</f>
        <v>A.1</v>
      </c>
      <c r="AC3" s="20" t="str">
        <f t="shared" si="2"/>
        <v>Step 1</v>
      </c>
      <c r="AD3" s="238" t="str">
        <f t="shared" si="3"/>
        <v>Maintain a technical security assurance framework</v>
      </c>
    </row>
    <row r="4" spans="1:30" x14ac:dyDescent="0.25">
      <c r="L4" s="266" t="str">
        <f>IF(SUMIF(N:N,H4,U:U)=0,"",SUMIF(N:N,H4,U:U)/(MAX(T:T)*COUNTIF(N:N,H4)))</f>
        <v/>
      </c>
      <c r="M4" s="266" t="str">
        <f>IF(ISERROR(L4),"",L4)</f>
        <v/>
      </c>
      <c r="N4" s="242" t="s">
        <v>90</v>
      </c>
      <c r="O4" s="242">
        <v>3</v>
      </c>
      <c r="P4" s="242">
        <v>3</v>
      </c>
      <c r="Q4" s="270" t="str">
        <f t="shared" si="4"/>
        <v>A.3</v>
      </c>
      <c r="R4" s="271">
        <f t="shared" ca="1" si="5"/>
        <v>1</v>
      </c>
      <c r="S4" s="272">
        <f t="shared" ca="1" si="6"/>
        <v>0</v>
      </c>
      <c r="W4" s="271">
        <v>5</v>
      </c>
      <c r="X4" s="242">
        <v>2</v>
      </c>
      <c r="Y4" s="242" t="str">
        <f t="shared" si="0"/>
        <v>A</v>
      </c>
      <c r="Z4" s="242">
        <f t="shared" si="1"/>
        <v>2</v>
      </c>
      <c r="AB4" s="270" t="str">
        <f t="shared" si="7"/>
        <v>A.2</v>
      </c>
      <c r="AC4" s="20" t="str">
        <f t="shared" si="2"/>
        <v>Step 2</v>
      </c>
      <c r="AD4" s="238" t="str">
        <f t="shared" si="3"/>
        <v>Establish a penetration testing governance structure</v>
      </c>
    </row>
    <row r="5" spans="1:30" x14ac:dyDescent="0.25">
      <c r="N5" s="242" t="s">
        <v>90</v>
      </c>
      <c r="O5" s="242">
        <v>4</v>
      </c>
      <c r="P5" s="242">
        <v>4</v>
      </c>
      <c r="Q5" s="270" t="str">
        <f t="shared" si="4"/>
        <v>A.4</v>
      </c>
      <c r="R5" s="271">
        <f t="shared" ca="1" si="5"/>
        <v>1</v>
      </c>
      <c r="S5" s="272">
        <f t="shared" ca="1" si="6"/>
        <v>0</v>
      </c>
      <c r="W5" s="271">
        <v>8</v>
      </c>
      <c r="X5" s="242">
        <v>2</v>
      </c>
      <c r="Y5" s="242" t="str">
        <f t="shared" si="0"/>
        <v>A</v>
      </c>
      <c r="Z5" s="242">
        <f t="shared" si="1"/>
        <v>3</v>
      </c>
      <c r="AB5" s="270" t="str">
        <f t="shared" si="7"/>
        <v>A.3</v>
      </c>
      <c r="AC5" s="20" t="str">
        <f t="shared" si="2"/>
        <v>Step 3</v>
      </c>
      <c r="AD5" s="238" t="str">
        <f t="shared" si="3"/>
        <v>Evaluate drivers for conducting penetration tests</v>
      </c>
    </row>
    <row r="6" spans="1:30" x14ac:dyDescent="0.25">
      <c r="N6" s="242" t="s">
        <v>90</v>
      </c>
      <c r="O6" s="242">
        <v>5</v>
      </c>
      <c r="P6" s="242">
        <v>5</v>
      </c>
      <c r="Q6" s="270" t="str">
        <f t="shared" si="4"/>
        <v>A.5</v>
      </c>
      <c r="R6" s="271">
        <f t="shared" ca="1" si="5"/>
        <v>1</v>
      </c>
      <c r="S6" s="272">
        <f t="shared" ca="1" si="6"/>
        <v>0</v>
      </c>
      <c r="W6" s="271">
        <v>11</v>
      </c>
      <c r="X6" s="242">
        <v>2</v>
      </c>
      <c r="Y6" s="242" t="str">
        <f t="shared" si="0"/>
        <v>A</v>
      </c>
      <c r="Z6" s="242">
        <f t="shared" si="1"/>
        <v>4</v>
      </c>
      <c r="AB6" s="270" t="str">
        <f t="shared" si="7"/>
        <v>A.4</v>
      </c>
      <c r="AC6" s="20" t="str">
        <f t="shared" si="2"/>
        <v>Step 4</v>
      </c>
      <c r="AD6" s="238" t="str">
        <f t="shared" si="3"/>
        <v>Identify target environments</v>
      </c>
    </row>
    <row r="7" spans="1:30" x14ac:dyDescent="0.25">
      <c r="N7" s="242" t="s">
        <v>90</v>
      </c>
      <c r="O7" s="242">
        <v>6</v>
      </c>
      <c r="P7" s="242">
        <v>6</v>
      </c>
      <c r="Q7" s="270" t="str">
        <f t="shared" si="4"/>
        <v>A.6</v>
      </c>
      <c r="R7" s="271">
        <f t="shared" ca="1" si="5"/>
        <v>1</v>
      </c>
      <c r="S7" s="272">
        <f t="shared" ca="1" si="6"/>
        <v>0</v>
      </c>
      <c r="W7" s="271">
        <v>14</v>
      </c>
      <c r="X7" s="242">
        <v>2</v>
      </c>
      <c r="Y7" s="242" t="str">
        <f t="shared" si="0"/>
        <v>A</v>
      </c>
      <c r="Z7" s="242">
        <f t="shared" si="1"/>
        <v>5</v>
      </c>
      <c r="AB7" s="270" t="str">
        <f t="shared" si="7"/>
        <v>A.5</v>
      </c>
      <c r="AC7" s="20" t="str">
        <f t="shared" si="2"/>
        <v>Step 5</v>
      </c>
      <c r="AD7" s="238" t="str">
        <f t="shared" si="3"/>
        <v>Define the purpose of the penetration tests</v>
      </c>
    </row>
    <row r="8" spans="1:30" x14ac:dyDescent="0.25">
      <c r="N8" s="242" t="s">
        <v>90</v>
      </c>
      <c r="O8" s="242">
        <v>7</v>
      </c>
      <c r="P8" s="242">
        <v>7</v>
      </c>
      <c r="Q8" s="270" t="str">
        <f t="shared" si="4"/>
        <v>A.7</v>
      </c>
      <c r="R8" s="271">
        <f t="shared" ca="1" si="5"/>
        <v>1</v>
      </c>
      <c r="S8" s="272">
        <f t="shared" ca="1" si="6"/>
        <v>0</v>
      </c>
      <c r="W8" s="271">
        <v>17</v>
      </c>
      <c r="X8" s="242">
        <v>2</v>
      </c>
      <c r="Y8" s="242" t="str">
        <f t="shared" si="0"/>
        <v>A</v>
      </c>
      <c r="Z8" s="242">
        <f t="shared" si="1"/>
        <v>6</v>
      </c>
      <c r="AB8" s="270" t="str">
        <f t="shared" si="7"/>
        <v>A.6</v>
      </c>
      <c r="AC8" s="20" t="str">
        <f t="shared" si="2"/>
        <v>Step 6</v>
      </c>
      <c r="AD8" s="238" t="str">
        <f t="shared" si="3"/>
        <v>Produce requirements specifications</v>
      </c>
    </row>
    <row r="9" spans="1:30" x14ac:dyDescent="0.25">
      <c r="N9" s="242" t="s">
        <v>91</v>
      </c>
      <c r="O9" s="242">
        <v>1</v>
      </c>
      <c r="P9" s="242">
        <v>8</v>
      </c>
      <c r="Q9" s="270" t="str">
        <f t="shared" si="4"/>
        <v>B.1</v>
      </c>
      <c r="R9" s="271">
        <f t="shared" ca="1" si="5"/>
        <v>1</v>
      </c>
      <c r="S9" s="272">
        <f t="shared" ca="1" si="6"/>
        <v>0</v>
      </c>
      <c r="W9" s="271">
        <v>20</v>
      </c>
      <c r="X9" s="242">
        <v>2</v>
      </c>
      <c r="Y9" s="242" t="str">
        <f t="shared" si="0"/>
        <v>A</v>
      </c>
      <c r="Z9" s="242">
        <f t="shared" si="1"/>
        <v>7</v>
      </c>
      <c r="AB9" s="270" t="str">
        <f t="shared" si="7"/>
        <v>A.7</v>
      </c>
      <c r="AC9" s="20" t="str">
        <f t="shared" si="2"/>
        <v>Step 7</v>
      </c>
      <c r="AD9" s="238" t="str">
        <f t="shared" si="3"/>
        <v>Select suitable suppliers</v>
      </c>
    </row>
    <row r="10" spans="1:30" x14ac:dyDescent="0.25">
      <c r="N10" s="242" t="s">
        <v>91</v>
      </c>
      <c r="O10" s="242">
        <v>2</v>
      </c>
      <c r="P10" s="242">
        <v>9</v>
      </c>
      <c r="Q10" s="270" t="str">
        <f t="shared" si="4"/>
        <v>B.2</v>
      </c>
      <c r="R10" s="271">
        <f t="shared" ca="1" si="5"/>
        <v>1</v>
      </c>
      <c r="S10" s="272">
        <f t="shared" ca="1" si="6"/>
        <v>0</v>
      </c>
      <c r="W10" s="271">
        <v>23</v>
      </c>
      <c r="X10" s="242">
        <v>1</v>
      </c>
      <c r="Y10" s="242" t="str">
        <f t="shared" si="0"/>
        <v>B</v>
      </c>
      <c r="Z10" s="242">
        <f t="shared" si="1"/>
        <v>0</v>
      </c>
      <c r="AB10" s="270" t="str">
        <f t="shared" si="7"/>
        <v>B</v>
      </c>
      <c r="AC10" s="20" t="str">
        <f t="shared" si="2"/>
        <v>Stage B</v>
      </c>
      <c r="AD10" s="238" t="str">
        <f t="shared" si="3"/>
        <v>Testing</v>
      </c>
    </row>
    <row r="11" spans="1:30" x14ac:dyDescent="0.25">
      <c r="N11" s="242" t="s">
        <v>91</v>
      </c>
      <c r="O11" s="242">
        <v>3</v>
      </c>
      <c r="P11" s="242">
        <v>10</v>
      </c>
      <c r="Q11" s="270" t="str">
        <f t="shared" si="4"/>
        <v>B.3</v>
      </c>
      <c r="R11" s="271">
        <f t="shared" ca="1" si="5"/>
        <v>1</v>
      </c>
      <c r="S11" s="272">
        <f t="shared" ca="1" si="6"/>
        <v>0</v>
      </c>
      <c r="W11" s="271">
        <v>24</v>
      </c>
      <c r="X11" s="242">
        <v>2</v>
      </c>
      <c r="Y11" s="242" t="str">
        <f t="shared" si="0"/>
        <v>B</v>
      </c>
      <c r="Z11" s="242">
        <f t="shared" si="1"/>
        <v>1</v>
      </c>
      <c r="AB11" s="270" t="str">
        <f t="shared" si="7"/>
        <v>B.1</v>
      </c>
      <c r="AC11" s="20" t="str">
        <f t="shared" si="2"/>
        <v>Step 1</v>
      </c>
      <c r="AD11" s="238" t="str">
        <f t="shared" si="3"/>
        <v>Agree testing style and type</v>
      </c>
    </row>
    <row r="12" spans="1:30" x14ac:dyDescent="0.25">
      <c r="N12" s="242" t="s">
        <v>91</v>
      </c>
      <c r="O12" s="242">
        <v>4</v>
      </c>
      <c r="P12" s="242">
        <v>11</v>
      </c>
      <c r="Q12" s="270" t="str">
        <f t="shared" si="4"/>
        <v>B.4</v>
      </c>
      <c r="R12" s="271">
        <f t="shared" ca="1" si="5"/>
        <v>1</v>
      </c>
      <c r="S12" s="272">
        <f t="shared" ca="1" si="6"/>
        <v>0</v>
      </c>
      <c r="W12" s="271">
        <v>27</v>
      </c>
      <c r="X12" s="242">
        <v>2</v>
      </c>
      <c r="Y12" s="242" t="str">
        <f t="shared" si="0"/>
        <v>B</v>
      </c>
      <c r="Z12" s="242">
        <f t="shared" si="1"/>
        <v>2</v>
      </c>
      <c r="AB12" s="270" t="str">
        <f t="shared" si="7"/>
        <v>B.2</v>
      </c>
      <c r="AC12" s="20" t="str">
        <f t="shared" si="2"/>
        <v>Step 2</v>
      </c>
      <c r="AD12" s="238" t="str">
        <f t="shared" si="3"/>
        <v>Identify testing constraints</v>
      </c>
    </row>
    <row r="13" spans="1:30" x14ac:dyDescent="0.25">
      <c r="N13" s="242" t="s">
        <v>91</v>
      </c>
      <c r="O13" s="242">
        <v>5</v>
      </c>
      <c r="P13" s="242">
        <v>12</v>
      </c>
      <c r="Q13" s="270" t="str">
        <f t="shared" ref="Q13:Q23" si="8">N13&amp;"."&amp;O13</f>
        <v>B.5</v>
      </c>
      <c r="R13" s="271">
        <f t="shared" ca="1" si="5"/>
        <v>1</v>
      </c>
      <c r="S13" s="272">
        <f t="shared" ca="1" si="6"/>
        <v>0</v>
      </c>
      <c r="W13" s="271">
        <v>30</v>
      </c>
      <c r="X13" s="242">
        <v>2</v>
      </c>
      <c r="Y13" s="242" t="str">
        <f t="shared" si="0"/>
        <v>B</v>
      </c>
      <c r="Z13" s="242">
        <f t="shared" si="1"/>
        <v>3</v>
      </c>
      <c r="AB13" s="270" t="str">
        <f t="shared" si="7"/>
        <v>B.3</v>
      </c>
      <c r="AC13" s="20" t="str">
        <f t="shared" si="2"/>
        <v>Step 3</v>
      </c>
      <c r="AD13" s="238" t="str">
        <f t="shared" si="3"/>
        <v>Produce scope statements</v>
      </c>
    </row>
    <row r="14" spans="1:30" x14ac:dyDescent="0.25">
      <c r="N14" s="242" t="s">
        <v>91</v>
      </c>
      <c r="O14" s="242">
        <v>6</v>
      </c>
      <c r="P14" s="242">
        <v>13</v>
      </c>
      <c r="Q14" s="270" t="str">
        <f t="shared" si="8"/>
        <v>B.6</v>
      </c>
      <c r="R14" s="271">
        <f t="shared" ca="1" si="5"/>
        <v>1</v>
      </c>
      <c r="S14" s="272">
        <f t="shared" ca="1" si="6"/>
        <v>0</v>
      </c>
      <c r="W14" s="271">
        <v>33</v>
      </c>
      <c r="X14" s="242">
        <v>2</v>
      </c>
      <c r="Y14" s="242" t="str">
        <f t="shared" si="0"/>
        <v>B</v>
      </c>
      <c r="Z14" s="242">
        <f t="shared" si="1"/>
        <v>4</v>
      </c>
      <c r="AB14" s="270" t="str">
        <f t="shared" si="7"/>
        <v>B.4</v>
      </c>
      <c r="AC14" s="20" t="str">
        <f t="shared" si="2"/>
        <v>Step 4</v>
      </c>
      <c r="AD14" s="238" t="str">
        <f t="shared" si="3"/>
        <v>Establish a management assurance framework</v>
      </c>
    </row>
    <row r="15" spans="1:30" x14ac:dyDescent="0.25">
      <c r="N15" s="242" t="s">
        <v>91</v>
      </c>
      <c r="O15" s="242">
        <v>7</v>
      </c>
      <c r="P15" s="242">
        <v>14</v>
      </c>
      <c r="Q15" s="270" t="str">
        <f t="shared" si="8"/>
        <v>B.7</v>
      </c>
      <c r="R15" s="271">
        <f t="shared" ca="1" si="5"/>
        <v>1</v>
      </c>
      <c r="S15" s="272">
        <f t="shared" ca="1" si="6"/>
        <v>0</v>
      </c>
      <c r="W15" s="271">
        <v>37</v>
      </c>
      <c r="X15" s="242">
        <v>2</v>
      </c>
      <c r="Y15" s="242" t="str">
        <f t="shared" si="0"/>
        <v>B</v>
      </c>
      <c r="Z15" s="242">
        <f t="shared" si="1"/>
        <v>5</v>
      </c>
      <c r="AB15" s="270" t="str">
        <f t="shared" si="7"/>
        <v>B.5</v>
      </c>
      <c r="AC15" s="20" t="str">
        <f t="shared" si="2"/>
        <v>Step 5</v>
      </c>
      <c r="AD15" s="238" t="str">
        <f t="shared" si="3"/>
        <v>Implement management control processes</v>
      </c>
    </row>
    <row r="16" spans="1:30" x14ac:dyDescent="0.25">
      <c r="N16" s="242" t="s">
        <v>91</v>
      </c>
      <c r="O16" s="242">
        <v>8</v>
      </c>
      <c r="P16" s="242">
        <v>15</v>
      </c>
      <c r="Q16" s="270" t="str">
        <f t="shared" si="8"/>
        <v>B.8</v>
      </c>
      <c r="R16" s="271">
        <f t="shared" ca="1" si="5"/>
        <v>1</v>
      </c>
      <c r="S16" s="272">
        <f t="shared" ca="1" si="6"/>
        <v>0</v>
      </c>
      <c r="W16" s="271">
        <v>40</v>
      </c>
      <c r="X16" s="242">
        <v>2</v>
      </c>
      <c r="Y16" s="242" t="str">
        <f t="shared" si="0"/>
        <v>B</v>
      </c>
      <c r="Z16" s="242">
        <f t="shared" si="1"/>
        <v>6</v>
      </c>
      <c r="AB16" s="270" t="str">
        <f t="shared" ref="AB16:AB25" si="9">IF(X16=1,Y16,Y16&amp;"."&amp;Z16)</f>
        <v>B.6</v>
      </c>
      <c r="AC16" s="20" t="str">
        <f t="shared" si="2"/>
        <v>Step 6</v>
      </c>
      <c r="AD16" s="238" t="str">
        <f t="shared" si="3"/>
        <v>Use an effective testing methodology</v>
      </c>
    </row>
    <row r="17" spans="14:30" x14ac:dyDescent="0.25">
      <c r="N17" s="242" t="s">
        <v>91</v>
      </c>
      <c r="O17" s="242">
        <v>9</v>
      </c>
      <c r="P17" s="242">
        <v>16</v>
      </c>
      <c r="Q17" s="270" t="str">
        <f t="shared" si="8"/>
        <v>B.9</v>
      </c>
      <c r="R17" s="271">
        <f t="shared" ca="1" si="5"/>
        <v>1</v>
      </c>
      <c r="S17" s="272">
        <f t="shared" ca="1" si="6"/>
        <v>0</v>
      </c>
      <c r="W17" s="271">
        <v>43</v>
      </c>
      <c r="X17" s="242">
        <v>2</v>
      </c>
      <c r="Y17" s="242" t="str">
        <f t="shared" si="0"/>
        <v>B</v>
      </c>
      <c r="Z17" s="242">
        <f t="shared" si="1"/>
        <v>7</v>
      </c>
      <c r="AB17" s="270" t="str">
        <f t="shared" si="9"/>
        <v>B.7</v>
      </c>
      <c r="AC17" s="20" t="str">
        <f t="shared" si="2"/>
        <v>Step 7</v>
      </c>
      <c r="AD17" s="238" t="str">
        <f t="shared" si="3"/>
        <v>Conduct sufficient research and planning</v>
      </c>
    </row>
    <row r="18" spans="14:30" x14ac:dyDescent="0.25">
      <c r="N18" s="242" t="s">
        <v>92</v>
      </c>
      <c r="O18" s="242">
        <v>1</v>
      </c>
      <c r="P18" s="242">
        <v>17</v>
      </c>
      <c r="Q18" s="270" t="str">
        <f t="shared" si="8"/>
        <v>C.1</v>
      </c>
      <c r="R18" s="271">
        <f t="shared" ca="1" si="5"/>
        <v>1</v>
      </c>
      <c r="S18" s="272">
        <f t="shared" ca="1" si="6"/>
        <v>0</v>
      </c>
      <c r="W18" s="271">
        <v>46</v>
      </c>
      <c r="X18" s="242">
        <v>2</v>
      </c>
      <c r="Y18" s="242" t="str">
        <f t="shared" si="0"/>
        <v>B</v>
      </c>
      <c r="Z18" s="242">
        <f t="shared" si="1"/>
        <v>8</v>
      </c>
      <c r="AB18" s="270" t="str">
        <f t="shared" si="9"/>
        <v>B.8</v>
      </c>
      <c r="AC18" s="20" t="str">
        <f t="shared" si="2"/>
        <v>Step 8</v>
      </c>
      <c r="AD18" s="238" t="str">
        <f t="shared" si="3"/>
        <v>Identify and exploit vulnerabilities</v>
      </c>
    </row>
    <row r="19" spans="14:30" x14ac:dyDescent="0.25">
      <c r="N19" s="242" t="s">
        <v>92</v>
      </c>
      <c r="O19" s="242">
        <v>2</v>
      </c>
      <c r="P19" s="242">
        <v>18</v>
      </c>
      <c r="Q19" s="270" t="str">
        <f t="shared" si="8"/>
        <v>C.2</v>
      </c>
      <c r="R19" s="271">
        <f t="shared" ca="1" si="5"/>
        <v>1</v>
      </c>
      <c r="S19" s="272">
        <f t="shared" ca="1" si="6"/>
        <v>0</v>
      </c>
      <c r="W19" s="271">
        <v>49</v>
      </c>
      <c r="X19" s="242">
        <v>2</v>
      </c>
      <c r="Y19" s="242" t="str">
        <f t="shared" si="0"/>
        <v>B</v>
      </c>
      <c r="Z19" s="242">
        <f t="shared" si="1"/>
        <v>9</v>
      </c>
      <c r="AB19" s="270" t="str">
        <f t="shared" si="9"/>
        <v>B.9</v>
      </c>
      <c r="AC19" s="20" t="str">
        <f t="shared" si="2"/>
        <v>Step 9</v>
      </c>
      <c r="AD19" s="238" t="str">
        <f t="shared" si="3"/>
        <v>Report key findings</v>
      </c>
    </row>
    <row r="20" spans="14:30" x14ac:dyDescent="0.25">
      <c r="N20" s="242" t="s">
        <v>92</v>
      </c>
      <c r="O20" s="242">
        <v>3</v>
      </c>
      <c r="P20" s="242">
        <v>19</v>
      </c>
      <c r="Q20" s="270" t="str">
        <f t="shared" si="8"/>
        <v>C.3</v>
      </c>
      <c r="R20" s="271">
        <f t="shared" ca="1" si="5"/>
        <v>1</v>
      </c>
      <c r="S20" s="272">
        <f t="shared" ca="1" si="6"/>
        <v>0</v>
      </c>
      <c r="W20" s="242">
        <v>52</v>
      </c>
      <c r="X20" s="242">
        <v>1</v>
      </c>
      <c r="Y20" s="242" t="str">
        <f t="shared" si="0"/>
        <v>C</v>
      </c>
      <c r="Z20" s="242">
        <f t="shared" si="1"/>
        <v>0</v>
      </c>
      <c r="AB20" s="270" t="str">
        <f t="shared" si="9"/>
        <v>C</v>
      </c>
      <c r="AC20" s="20" t="str">
        <f t="shared" si="2"/>
        <v>Stage C</v>
      </c>
      <c r="AD20" s="238" t="str">
        <f t="shared" si="3"/>
        <v>Follow up</v>
      </c>
    </row>
    <row r="21" spans="14:30" x14ac:dyDescent="0.25">
      <c r="N21" s="242" t="s">
        <v>92</v>
      </c>
      <c r="O21" s="242">
        <v>4</v>
      </c>
      <c r="P21" s="242">
        <v>20</v>
      </c>
      <c r="Q21" s="270" t="str">
        <f t="shared" si="8"/>
        <v>C.4</v>
      </c>
      <c r="R21" s="271">
        <f t="shared" ca="1" si="5"/>
        <v>1</v>
      </c>
      <c r="S21" s="272">
        <f t="shared" ca="1" si="6"/>
        <v>0</v>
      </c>
      <c r="W21" s="242">
        <v>53</v>
      </c>
      <c r="X21" s="242">
        <v>2</v>
      </c>
      <c r="Y21" s="242" t="str">
        <f t="shared" si="0"/>
        <v>C</v>
      </c>
      <c r="Z21" s="242">
        <f t="shared" si="1"/>
        <v>1</v>
      </c>
      <c r="AB21" s="270" t="str">
        <f t="shared" si="9"/>
        <v>C.1</v>
      </c>
      <c r="AC21" s="20" t="str">
        <f t="shared" si="2"/>
        <v>Step 1</v>
      </c>
      <c r="AD21" s="238" t="str">
        <f t="shared" si="3"/>
        <v>Remediate weaknesses</v>
      </c>
    </row>
    <row r="22" spans="14:30" x14ac:dyDescent="0.25">
      <c r="N22" s="242" t="s">
        <v>92</v>
      </c>
      <c r="O22" s="242">
        <v>5</v>
      </c>
      <c r="P22" s="242">
        <v>21</v>
      </c>
      <c r="Q22" s="270" t="str">
        <f t="shared" si="8"/>
        <v>C.5</v>
      </c>
      <c r="R22" s="271">
        <f t="shared" ca="1" si="5"/>
        <v>1</v>
      </c>
      <c r="S22" s="272">
        <f t="shared" ca="1" si="6"/>
        <v>0</v>
      </c>
      <c r="W22" s="242">
        <v>56</v>
      </c>
      <c r="X22" s="242">
        <v>2</v>
      </c>
      <c r="Y22" s="242" t="str">
        <f t="shared" si="0"/>
        <v>C</v>
      </c>
      <c r="Z22" s="242">
        <f t="shared" si="1"/>
        <v>2</v>
      </c>
      <c r="AB22" s="270" t="str">
        <f t="shared" si="9"/>
        <v>C.2</v>
      </c>
      <c r="AC22" s="20" t="str">
        <f t="shared" si="2"/>
        <v>Step 2</v>
      </c>
      <c r="AD22" s="238" t="str">
        <f t="shared" si="3"/>
        <v>Address root causes of weaknesses</v>
      </c>
    </row>
    <row r="23" spans="14:30" ht="15.75" thickBot="1" x14ac:dyDescent="0.3">
      <c r="N23" s="242" t="s">
        <v>92</v>
      </c>
      <c r="O23" s="242">
        <v>6</v>
      </c>
      <c r="P23" s="242">
        <v>22</v>
      </c>
      <c r="Q23" s="273" t="str">
        <f t="shared" si="8"/>
        <v>C.6</v>
      </c>
      <c r="R23" s="274">
        <f t="shared" ca="1" si="5"/>
        <v>1</v>
      </c>
      <c r="S23" s="275">
        <f t="shared" ca="1" si="6"/>
        <v>0</v>
      </c>
      <c r="W23" s="242">
        <v>59</v>
      </c>
      <c r="X23" s="242">
        <v>2</v>
      </c>
      <c r="Y23" s="242" t="str">
        <f t="shared" si="0"/>
        <v>C</v>
      </c>
      <c r="Z23" s="242">
        <f t="shared" si="1"/>
        <v>3</v>
      </c>
      <c r="AB23" s="270" t="str">
        <f t="shared" si="9"/>
        <v>C.3</v>
      </c>
      <c r="AC23" s="20" t="str">
        <f t="shared" si="2"/>
        <v>Step 3</v>
      </c>
      <c r="AD23" s="238" t="str">
        <f t="shared" si="3"/>
        <v>Initiate improvement programme</v>
      </c>
    </row>
    <row r="24" spans="14:30" x14ac:dyDescent="0.25">
      <c r="T24"/>
      <c r="W24" s="242">
        <v>62</v>
      </c>
      <c r="X24" s="242">
        <v>2</v>
      </c>
      <c r="Y24" s="242" t="str">
        <f t="shared" si="0"/>
        <v>C</v>
      </c>
      <c r="Z24" s="242">
        <f t="shared" si="1"/>
        <v>4</v>
      </c>
      <c r="AB24" s="270" t="str">
        <f t="shared" si="9"/>
        <v>C.4</v>
      </c>
      <c r="AC24" s="20" t="str">
        <f t="shared" si="2"/>
        <v>Step 4</v>
      </c>
      <c r="AD24" s="238" t="str">
        <f t="shared" si="3"/>
        <v>Evaluate penetration testing effectiveness</v>
      </c>
    </row>
    <row r="25" spans="14:30" x14ac:dyDescent="0.25">
      <c r="T25"/>
      <c r="W25" s="242">
        <v>65</v>
      </c>
      <c r="X25" s="242">
        <v>2</v>
      </c>
      <c r="Y25" s="242" t="str">
        <f t="shared" si="0"/>
        <v>C</v>
      </c>
      <c r="Z25" s="242">
        <f t="shared" si="1"/>
        <v>5</v>
      </c>
      <c r="AB25" s="270" t="str">
        <f t="shared" si="9"/>
        <v>C.5</v>
      </c>
      <c r="AC25" s="20" t="str">
        <f t="shared" si="2"/>
        <v>Step 5</v>
      </c>
      <c r="AD25" s="238" t="str">
        <f t="shared" si="3"/>
        <v>Build on lessons learned</v>
      </c>
    </row>
    <row r="26" spans="14:30" ht="15.75" thickBot="1" x14ac:dyDescent="0.3">
      <c r="T26"/>
      <c r="W26" s="242">
        <v>68</v>
      </c>
      <c r="X26" s="242">
        <v>2</v>
      </c>
      <c r="Y26" s="242" t="str">
        <f t="shared" ref="Y26" si="10">VLOOKUP(W26,contentrefmockup,3,FALSE)</f>
        <v>C</v>
      </c>
      <c r="Z26" s="242">
        <f t="shared" ref="Z26" si="11">VLOOKUP(W26,contentrefmockup,4,FALSE)</f>
        <v>6</v>
      </c>
      <c r="AB26" s="273" t="str">
        <f t="shared" ref="AB26" si="12">IF(X26=1,Y26,Y26&amp;"."&amp;Z26)</f>
        <v>C.6</v>
      </c>
      <c r="AC26" s="239" t="str">
        <f t="shared" si="2"/>
        <v>Step 6</v>
      </c>
      <c r="AD26" s="240" t="str">
        <f t="shared" ref="AD26" si="13">VLOOKUP(W26,contentrefmockup,7,FALSE)</f>
        <v>Create and monitor action plans</v>
      </c>
    </row>
    <row r="27" spans="14:30" x14ac:dyDescent="0.25">
      <c r="T27"/>
    </row>
    <row r="28" spans="14:30" x14ac:dyDescent="0.25">
      <c r="T28"/>
    </row>
    <row r="29" spans="14:30" x14ac:dyDescent="0.25">
      <c r="T29"/>
    </row>
    <row r="30" spans="14:30" x14ac:dyDescent="0.25">
      <c r="T30"/>
    </row>
  </sheetData>
  <sheetProtection algorithmName="SHA-512" hashValue="4gRgpeJv4t5MWQJALHoujrGw88CX0RqCVQfjChRvk8xu/JsO/WIsXp5qxUq0WTifZ3iWmCeWjwXqyK5gJ/nVgQ==" saltValue="2ImBKqHJvsBTZXKI1KJgDQ==" spinCount="100000" sheet="1" objects="1" scenarios="1"/>
  <mergeCells count="3">
    <mergeCell ref="Q1:S1"/>
    <mergeCell ref="AB1:AD1"/>
    <mergeCell ref="A1:F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dimension ref="A1:X72"/>
  <sheetViews>
    <sheetView topLeftCell="G1" zoomScaleNormal="100" workbookViewId="0">
      <pane ySplit="2" topLeftCell="A3" activePane="bottomLeft" state="frozen"/>
      <selection pane="bottomLeft" activeCell="X9" sqref="X9"/>
    </sheetView>
  </sheetViews>
  <sheetFormatPr defaultColWidth="9.140625" defaultRowHeight="15" x14ac:dyDescent="0.25"/>
  <cols>
    <col min="1" max="2" width="9.140625" style="10"/>
    <col min="3" max="3" width="12.42578125" style="10" customWidth="1"/>
    <col min="4" max="4" width="6.42578125" style="10" customWidth="1"/>
    <col min="5" max="5" width="5" style="10" customWidth="1"/>
    <col min="6" max="6" width="7" style="10" customWidth="1"/>
    <col min="7" max="7" width="88.7109375" style="255" customWidth="1"/>
    <col min="8" max="8" width="10.28515625" style="286" bestFit="1" customWidth="1"/>
    <col min="9" max="9" width="6.28515625" style="287" bestFit="1" customWidth="1"/>
    <col min="10" max="10" width="5" style="243" bestFit="1" customWidth="1"/>
    <col min="11" max="11" width="12.140625" style="243" bestFit="1" customWidth="1"/>
    <col min="12" max="12" width="5" style="243" bestFit="1" customWidth="1"/>
    <col min="13" max="13" width="2.42578125" style="243" bestFit="1" customWidth="1"/>
    <col min="14" max="14" width="5.5703125" style="243" bestFit="1" customWidth="1"/>
    <col min="15" max="15" width="5.28515625" style="287" bestFit="1" customWidth="1"/>
    <col min="16" max="16" width="9.140625" style="287"/>
    <col min="17" max="17" width="5.140625" style="243" customWidth="1"/>
    <col min="18" max="18" width="9.140625" style="288"/>
    <col min="19" max="23" width="9.140625" style="10"/>
    <col min="24" max="24" width="12.140625" style="10" bestFit="1" customWidth="1"/>
    <col min="25" max="16384" width="9.140625" style="10"/>
  </cols>
  <sheetData>
    <row r="1" spans="1:24" ht="15.75" thickBot="1" x14ac:dyDescent="0.3">
      <c r="A1" s="316" t="s">
        <v>242</v>
      </c>
      <c r="B1" s="318"/>
      <c r="C1" s="318"/>
      <c r="D1" s="318"/>
      <c r="E1" s="318"/>
      <c r="F1" s="318"/>
      <c r="G1" s="317"/>
      <c r="W1" s="316" t="s">
        <v>243</v>
      </c>
      <c r="X1" s="317"/>
    </row>
    <row r="2" spans="1:24" ht="15.75" thickBot="1" x14ac:dyDescent="0.3">
      <c r="A2" s="281" t="s">
        <v>67</v>
      </c>
      <c r="B2" s="281" t="s">
        <v>72</v>
      </c>
      <c r="C2" s="281" t="s">
        <v>94</v>
      </c>
      <c r="D2" s="281" t="s">
        <v>63</v>
      </c>
      <c r="E2" s="281" t="s">
        <v>64</v>
      </c>
      <c r="F2" s="281" t="s">
        <v>65</v>
      </c>
      <c r="G2" s="282" t="s">
        <v>66</v>
      </c>
      <c r="H2" s="289" t="s">
        <v>8</v>
      </c>
      <c r="I2" s="290" t="s">
        <v>68</v>
      </c>
      <c r="J2" s="291" t="s">
        <v>63</v>
      </c>
      <c r="K2" s="291" t="s">
        <v>69</v>
      </c>
      <c r="L2" s="291" t="s">
        <v>70</v>
      </c>
      <c r="M2" s="291" t="s">
        <v>64</v>
      </c>
      <c r="N2" s="291" t="s">
        <v>65</v>
      </c>
      <c r="O2" s="292" t="s">
        <v>71</v>
      </c>
      <c r="P2" s="293"/>
      <c r="T2" s="10" t="s">
        <v>127</v>
      </c>
      <c r="W2" s="256">
        <v>1</v>
      </c>
      <c r="X2" s="257" t="s">
        <v>94</v>
      </c>
    </row>
    <row r="3" spans="1:24" x14ac:dyDescent="0.25">
      <c r="A3" s="248">
        <v>1</v>
      </c>
      <c r="B3" s="280" t="str">
        <f>R3</f>
        <v>A</v>
      </c>
      <c r="C3" s="283" t="s">
        <v>90</v>
      </c>
      <c r="D3" s="248"/>
      <c r="E3" s="248"/>
      <c r="F3" s="248"/>
      <c r="G3" s="284" t="s">
        <v>141</v>
      </c>
      <c r="H3" s="294"/>
      <c r="I3" s="287">
        <f t="shared" ref="I3" si="0">IF(AND(LEN(C3)=1,LEN(D3)=0),1,"")</f>
        <v>1</v>
      </c>
      <c r="J3" s="202" t="str">
        <f t="shared" ref="J3" si="1">IF(AND(LEN(C3)=1,LEN(D3)=1,LEN(E3)=0,LEN(F3)=0),2,"")</f>
        <v/>
      </c>
      <c r="K3" s="202" t="str">
        <f t="shared" ref="K3" si="2">IF(AND(LEN(C3)=0,LEN(E3)=0),3,"")</f>
        <v/>
      </c>
      <c r="L3" s="202" t="str">
        <f t="shared" ref="L3" si="3">IF(AND(LEN(C3)&gt;0,LEN(D3&gt;0),LEN(E3)&gt;0,LEN(F3)=0,H3="N/A"),4,"")</f>
        <v/>
      </c>
      <c r="M3" s="202" t="str">
        <f t="shared" ref="M3" si="4">IF(AND(LEN(C3)&gt;0,LEN(D3&gt;0),LEN(E3)&gt;0,LEN(F3)=0,H3&gt;0,H3&lt;6),5,"")</f>
        <v/>
      </c>
      <c r="N3" s="202" t="str">
        <f t="shared" ref="N3" si="5">IF(AND(LEN(C3)&gt;0,LEN(D3&gt;0),LEN(E3)&gt;0,LEN(F3)&gt;0,H3&gt;0,H3&lt;6),6,"")</f>
        <v/>
      </c>
      <c r="O3" s="287">
        <f t="shared" ref="O3" si="6">SUM(I3:N3)</f>
        <v>1</v>
      </c>
      <c r="Q3" s="243" t="str">
        <f t="shared" ref="Q3" si="7">IF(LEN(E3)&gt;0,TEXT(E3,"00"),"")</f>
        <v/>
      </c>
      <c r="R3" s="288" t="str">
        <f t="shared" ref="R3" si="8">IF(O3=1,C3,IF(O3=2,C3&amp;"."&amp;D3,IF(O3=3,"",IF(O3=4,C3&amp;"."&amp;D3&amp;"."&amp;Q3,IF(O3=5,C3&amp;"."&amp;D3&amp;"."&amp;Q3,IF(O3=6,C3&amp;"."&amp;D3&amp;"."&amp;Q3&amp;F3,""))))))</f>
        <v>A</v>
      </c>
      <c r="W3" s="258">
        <v>2</v>
      </c>
      <c r="X3" s="259" t="s">
        <v>63</v>
      </c>
    </row>
    <row r="4" spans="1:24" x14ac:dyDescent="0.25">
      <c r="A4" s="10">
        <v>2</v>
      </c>
      <c r="B4" s="280" t="str">
        <f t="shared" ref="B4:B68" si="9">R4</f>
        <v>A.1</v>
      </c>
      <c r="C4" s="285" t="s">
        <v>90</v>
      </c>
      <c r="D4" s="10">
        <v>1</v>
      </c>
      <c r="G4" s="255" t="s">
        <v>142</v>
      </c>
      <c r="I4" s="287" t="str">
        <f t="shared" ref="I4:I68" si="10">IF(AND(LEN(C4)=1,LEN(D4)=0),1,"")</f>
        <v/>
      </c>
      <c r="J4" s="202">
        <f t="shared" ref="J4:J68" si="11">IF(AND(LEN(C4)=1,LEN(D4)=1,LEN(E4)=0,LEN(F4)=0),2,"")</f>
        <v>2</v>
      </c>
      <c r="K4" s="202" t="str">
        <f t="shared" ref="K4:K68" si="12">IF(AND(LEN(C4)=0,LEN(E4)=0),3,"")</f>
        <v/>
      </c>
      <c r="L4" s="202" t="str">
        <f t="shared" ref="L4:L68" si="13">IF(AND(LEN(C4)&gt;0,LEN(D4&gt;0),LEN(E4)&gt;0,LEN(F4)=0,H4="N/A"),4,"")</f>
        <v/>
      </c>
      <c r="M4" s="202" t="str">
        <f t="shared" ref="M4:M68" si="14">IF(AND(LEN(C4)&gt;0,LEN(D4&gt;0),LEN(E4)&gt;0,LEN(F4)=0,H4&gt;0,H4&lt;6),5,"")</f>
        <v/>
      </c>
      <c r="N4" s="202" t="str">
        <f t="shared" ref="N4:N68" si="15">IF(AND(LEN(C4)&gt;0,LEN(D4&gt;0),LEN(E4)&gt;0,LEN(F4)&gt;0,H4&gt;0,H4&lt;6),6,"")</f>
        <v/>
      </c>
      <c r="O4" s="287">
        <f t="shared" ref="O4:O68" si="16">SUM(I4:N4)</f>
        <v>2</v>
      </c>
      <c r="Q4" s="243" t="str">
        <f t="shared" ref="Q4:Q68" si="17">IF(LEN(E4)&gt;0,TEXT(E4,"00"),"")</f>
        <v/>
      </c>
      <c r="R4" s="288" t="str">
        <f t="shared" ref="R4:R68" si="18">IF(O4=1,C4,IF(O4=2,C4&amp;"."&amp;D4,IF(O4=3,"",IF(O4=4,C4&amp;"."&amp;D4&amp;"."&amp;Q4,IF(O4=5,C4&amp;"."&amp;D4&amp;"."&amp;Q4,IF(O4=6,C4&amp;"."&amp;D4&amp;"."&amp;Q4&amp;F4,""))))))</f>
        <v>A.1</v>
      </c>
      <c r="W4" s="258">
        <v>3</v>
      </c>
      <c r="X4" s="259" t="s">
        <v>69</v>
      </c>
    </row>
    <row r="5" spans="1:24" ht="30" x14ac:dyDescent="0.25">
      <c r="A5" s="10">
        <v>3</v>
      </c>
      <c r="B5" s="280" t="str">
        <f t="shared" si="9"/>
        <v>A.1.01</v>
      </c>
      <c r="C5" s="285" t="s">
        <v>90</v>
      </c>
      <c r="D5" s="10">
        <v>1</v>
      </c>
      <c r="E5" s="10">
        <v>1</v>
      </c>
      <c r="G5" s="255" t="s">
        <v>165</v>
      </c>
      <c r="H5" s="286">
        <v>1</v>
      </c>
      <c r="I5" s="287" t="str">
        <f t="shared" si="10"/>
        <v/>
      </c>
      <c r="J5" s="202" t="str">
        <f t="shared" si="11"/>
        <v/>
      </c>
      <c r="K5" s="202" t="str">
        <f t="shared" si="12"/>
        <v/>
      </c>
      <c r="L5" s="202" t="str">
        <f t="shared" si="13"/>
        <v/>
      </c>
      <c r="M5" s="202">
        <f t="shared" si="14"/>
        <v>5</v>
      </c>
      <c r="N5" s="202" t="str">
        <f t="shared" si="15"/>
        <v/>
      </c>
      <c r="O5" s="287">
        <f t="shared" si="16"/>
        <v>5</v>
      </c>
      <c r="Q5" s="243" t="str">
        <f t="shared" si="17"/>
        <v>01</v>
      </c>
      <c r="R5" s="288" t="str">
        <f t="shared" si="18"/>
        <v>A.1.01</v>
      </c>
      <c r="W5" s="258">
        <v>4</v>
      </c>
      <c r="X5" s="259" t="s">
        <v>70</v>
      </c>
    </row>
    <row r="6" spans="1:24" ht="90" x14ac:dyDescent="0.25">
      <c r="A6" s="10">
        <v>4</v>
      </c>
      <c r="B6" s="280" t="str">
        <f t="shared" si="9"/>
        <v/>
      </c>
      <c r="C6" s="285"/>
      <c r="F6" s="10" t="s">
        <v>122</v>
      </c>
      <c r="G6" s="255" t="s">
        <v>214</v>
      </c>
      <c r="I6" s="287" t="str">
        <f t="shared" si="10"/>
        <v/>
      </c>
      <c r="J6" s="202" t="str">
        <f t="shared" si="11"/>
        <v/>
      </c>
      <c r="K6" s="202">
        <f t="shared" si="12"/>
        <v>3</v>
      </c>
      <c r="L6" s="202" t="str">
        <f t="shared" si="13"/>
        <v/>
      </c>
      <c r="M6" s="202" t="str">
        <f t="shared" si="14"/>
        <v/>
      </c>
      <c r="N6" s="202" t="str">
        <f t="shared" si="15"/>
        <v/>
      </c>
      <c r="O6" s="287">
        <f t="shared" si="16"/>
        <v>3</v>
      </c>
      <c r="Q6" s="243" t="str">
        <f t="shared" si="17"/>
        <v/>
      </c>
      <c r="R6" s="288" t="str">
        <f t="shared" si="18"/>
        <v/>
      </c>
      <c r="W6" s="258">
        <v>5</v>
      </c>
      <c r="X6" s="259" t="s">
        <v>64</v>
      </c>
    </row>
    <row r="7" spans="1:24" ht="15.75" thickBot="1" x14ac:dyDescent="0.3">
      <c r="A7" s="10">
        <v>5</v>
      </c>
      <c r="B7" s="280" t="str">
        <f t="shared" si="9"/>
        <v>A.2</v>
      </c>
      <c r="C7" s="285" t="s">
        <v>90</v>
      </c>
      <c r="D7" s="10">
        <v>2</v>
      </c>
      <c r="G7" s="255" t="s">
        <v>143</v>
      </c>
      <c r="I7" s="287" t="str">
        <f t="shared" si="10"/>
        <v/>
      </c>
      <c r="J7" s="202">
        <f t="shared" si="11"/>
        <v>2</v>
      </c>
      <c r="K7" s="202" t="str">
        <f t="shared" si="12"/>
        <v/>
      </c>
      <c r="L7" s="202" t="str">
        <f t="shared" si="13"/>
        <v/>
      </c>
      <c r="M7" s="202" t="str">
        <f t="shared" si="14"/>
        <v/>
      </c>
      <c r="N7" s="202" t="str">
        <f t="shared" si="15"/>
        <v/>
      </c>
      <c r="O7" s="287">
        <f t="shared" si="16"/>
        <v>2</v>
      </c>
      <c r="Q7" s="243" t="str">
        <f t="shared" si="17"/>
        <v/>
      </c>
      <c r="R7" s="288" t="str">
        <f t="shared" si="18"/>
        <v>A.2</v>
      </c>
      <c r="W7" s="260">
        <v>6</v>
      </c>
      <c r="X7" s="261" t="s">
        <v>65</v>
      </c>
    </row>
    <row r="8" spans="1:24" ht="30" x14ac:dyDescent="0.25">
      <c r="A8" s="10">
        <v>6</v>
      </c>
      <c r="B8" s="280" t="str">
        <f t="shared" si="9"/>
        <v>A.2.01</v>
      </c>
      <c r="C8" s="285" t="s">
        <v>90</v>
      </c>
      <c r="D8" s="10">
        <v>2</v>
      </c>
      <c r="E8" s="10">
        <v>1</v>
      </c>
      <c r="G8" s="255" t="s">
        <v>144</v>
      </c>
      <c r="H8" s="286">
        <v>1</v>
      </c>
      <c r="I8" s="287" t="str">
        <f t="shared" si="10"/>
        <v/>
      </c>
      <c r="J8" s="202" t="str">
        <f t="shared" si="11"/>
        <v/>
      </c>
      <c r="K8" s="202" t="str">
        <f t="shared" si="12"/>
        <v/>
      </c>
      <c r="L8" s="202" t="str">
        <f t="shared" si="13"/>
        <v/>
      </c>
      <c r="M8" s="202">
        <f t="shared" si="14"/>
        <v>5</v>
      </c>
      <c r="N8" s="202" t="str">
        <f t="shared" si="15"/>
        <v/>
      </c>
      <c r="O8" s="287">
        <f t="shared" si="16"/>
        <v>5</v>
      </c>
      <c r="Q8" s="243" t="str">
        <f t="shared" si="17"/>
        <v>01</v>
      </c>
      <c r="R8" s="288" t="str">
        <f t="shared" si="18"/>
        <v>A.2.01</v>
      </c>
    </row>
    <row r="9" spans="1:24" ht="105" x14ac:dyDescent="0.25">
      <c r="A9" s="10">
        <v>7</v>
      </c>
      <c r="B9" s="280" t="str">
        <f t="shared" si="9"/>
        <v/>
      </c>
      <c r="C9" s="285"/>
      <c r="F9" s="10" t="s">
        <v>122</v>
      </c>
      <c r="G9" s="255" t="s">
        <v>166</v>
      </c>
      <c r="I9" s="287" t="str">
        <f t="shared" si="10"/>
        <v/>
      </c>
      <c r="J9" s="202" t="str">
        <f t="shared" si="11"/>
        <v/>
      </c>
      <c r="K9" s="202">
        <f t="shared" si="12"/>
        <v>3</v>
      </c>
      <c r="L9" s="202" t="str">
        <f t="shared" si="13"/>
        <v/>
      </c>
      <c r="M9" s="202" t="str">
        <f t="shared" si="14"/>
        <v/>
      </c>
      <c r="N9" s="202" t="str">
        <f t="shared" si="15"/>
        <v/>
      </c>
      <c r="O9" s="287">
        <f t="shared" si="16"/>
        <v>3</v>
      </c>
      <c r="Q9" s="243" t="str">
        <f t="shared" si="17"/>
        <v/>
      </c>
      <c r="R9" s="288" t="str">
        <f t="shared" si="18"/>
        <v/>
      </c>
    </row>
    <row r="10" spans="1:24" x14ac:dyDescent="0.25">
      <c r="A10" s="10">
        <v>8</v>
      </c>
      <c r="B10" s="280" t="str">
        <f t="shared" si="9"/>
        <v>A.3</v>
      </c>
      <c r="C10" s="285" t="s">
        <v>90</v>
      </c>
      <c r="D10" s="10">
        <v>3</v>
      </c>
      <c r="G10" s="255" t="s">
        <v>145</v>
      </c>
      <c r="I10" s="287" t="str">
        <f t="shared" si="10"/>
        <v/>
      </c>
      <c r="J10" s="202">
        <f t="shared" si="11"/>
        <v>2</v>
      </c>
      <c r="K10" s="202" t="str">
        <f t="shared" si="12"/>
        <v/>
      </c>
      <c r="L10" s="202" t="str">
        <f t="shared" si="13"/>
        <v/>
      </c>
      <c r="M10" s="202" t="str">
        <f t="shared" si="14"/>
        <v/>
      </c>
      <c r="N10" s="202" t="str">
        <f t="shared" si="15"/>
        <v/>
      </c>
      <c r="O10" s="287">
        <f t="shared" si="16"/>
        <v>2</v>
      </c>
      <c r="Q10" s="243" t="str">
        <f t="shared" si="17"/>
        <v/>
      </c>
      <c r="R10" s="288" t="str">
        <f t="shared" si="18"/>
        <v>A.3</v>
      </c>
    </row>
    <row r="11" spans="1:24" ht="45" x14ac:dyDescent="0.25">
      <c r="A11" s="10">
        <v>9</v>
      </c>
      <c r="B11" s="280" t="str">
        <f t="shared" si="9"/>
        <v>A.3.01</v>
      </c>
      <c r="C11" s="285" t="s">
        <v>90</v>
      </c>
      <c r="D11" s="10">
        <v>3</v>
      </c>
      <c r="E11" s="10">
        <v>1</v>
      </c>
      <c r="G11" s="255" t="s">
        <v>167</v>
      </c>
      <c r="H11" s="286">
        <v>1</v>
      </c>
      <c r="I11" s="287" t="str">
        <f t="shared" si="10"/>
        <v/>
      </c>
      <c r="J11" s="202" t="str">
        <f t="shared" si="11"/>
        <v/>
      </c>
      <c r="K11" s="202" t="str">
        <f t="shared" si="12"/>
        <v/>
      </c>
      <c r="L11" s="202" t="str">
        <f t="shared" si="13"/>
        <v/>
      </c>
      <c r="M11" s="202">
        <f t="shared" si="14"/>
        <v>5</v>
      </c>
      <c r="N11" s="202" t="str">
        <f t="shared" si="15"/>
        <v/>
      </c>
      <c r="O11" s="287">
        <f t="shared" si="16"/>
        <v>5</v>
      </c>
      <c r="Q11" s="243" t="str">
        <f t="shared" si="17"/>
        <v>01</v>
      </c>
      <c r="R11" s="288" t="str">
        <f t="shared" si="18"/>
        <v>A.3.01</v>
      </c>
    </row>
    <row r="12" spans="1:24" ht="60" x14ac:dyDescent="0.25">
      <c r="A12" s="10">
        <v>10</v>
      </c>
      <c r="B12" s="280" t="str">
        <f t="shared" si="9"/>
        <v/>
      </c>
      <c r="C12" s="285"/>
      <c r="F12" s="10" t="s">
        <v>122</v>
      </c>
      <c r="G12" s="255" t="s">
        <v>168</v>
      </c>
      <c r="I12" s="287" t="str">
        <f t="shared" si="10"/>
        <v/>
      </c>
      <c r="J12" s="202" t="str">
        <f t="shared" si="11"/>
        <v/>
      </c>
      <c r="K12" s="202">
        <f t="shared" si="12"/>
        <v>3</v>
      </c>
      <c r="L12" s="202" t="str">
        <f t="shared" si="13"/>
        <v/>
      </c>
      <c r="M12" s="202" t="str">
        <f t="shared" si="14"/>
        <v/>
      </c>
      <c r="N12" s="202" t="str">
        <f t="shared" si="15"/>
        <v/>
      </c>
      <c r="O12" s="287">
        <f t="shared" si="16"/>
        <v>3</v>
      </c>
      <c r="Q12" s="243" t="str">
        <f t="shared" si="17"/>
        <v/>
      </c>
      <c r="R12" s="288" t="str">
        <f t="shared" si="18"/>
        <v/>
      </c>
    </row>
    <row r="13" spans="1:24" x14ac:dyDescent="0.25">
      <c r="A13" s="10">
        <v>11</v>
      </c>
      <c r="B13" s="280" t="str">
        <f t="shared" si="9"/>
        <v>A.4</v>
      </c>
      <c r="C13" s="285" t="s">
        <v>90</v>
      </c>
      <c r="D13" s="10">
        <v>4</v>
      </c>
      <c r="G13" s="255" t="s">
        <v>146</v>
      </c>
      <c r="I13" s="287" t="str">
        <f t="shared" si="10"/>
        <v/>
      </c>
      <c r="J13" s="202">
        <f t="shared" si="11"/>
        <v>2</v>
      </c>
      <c r="K13" s="202" t="str">
        <f t="shared" si="12"/>
        <v/>
      </c>
      <c r="L13" s="202" t="str">
        <f t="shared" si="13"/>
        <v/>
      </c>
      <c r="M13" s="202" t="str">
        <f t="shared" si="14"/>
        <v/>
      </c>
      <c r="N13" s="202" t="str">
        <f t="shared" si="15"/>
        <v/>
      </c>
      <c r="O13" s="287">
        <f t="shared" si="16"/>
        <v>2</v>
      </c>
      <c r="Q13" s="243" t="str">
        <f t="shared" si="17"/>
        <v/>
      </c>
      <c r="R13" s="288" t="str">
        <f t="shared" si="18"/>
        <v>A.4</v>
      </c>
    </row>
    <row r="14" spans="1:24" ht="30" x14ac:dyDescent="0.25">
      <c r="A14" s="10">
        <v>12</v>
      </c>
      <c r="B14" s="280" t="str">
        <f t="shared" si="9"/>
        <v>A.4.01</v>
      </c>
      <c r="C14" s="285" t="s">
        <v>90</v>
      </c>
      <c r="D14" s="10">
        <v>4</v>
      </c>
      <c r="E14" s="10">
        <v>1</v>
      </c>
      <c r="G14" s="255" t="s">
        <v>123</v>
      </c>
      <c r="H14" s="286">
        <v>1</v>
      </c>
      <c r="I14" s="287" t="str">
        <f t="shared" si="10"/>
        <v/>
      </c>
      <c r="J14" s="202" t="str">
        <f t="shared" si="11"/>
        <v/>
      </c>
      <c r="K14" s="202" t="str">
        <f t="shared" si="12"/>
        <v/>
      </c>
      <c r="L14" s="202" t="str">
        <f t="shared" si="13"/>
        <v/>
      </c>
      <c r="M14" s="202">
        <f t="shared" si="14"/>
        <v>5</v>
      </c>
      <c r="N14" s="202" t="str">
        <f t="shared" si="15"/>
        <v/>
      </c>
      <c r="O14" s="287">
        <f t="shared" si="16"/>
        <v>5</v>
      </c>
      <c r="Q14" s="243" t="str">
        <f t="shared" si="17"/>
        <v>01</v>
      </c>
      <c r="R14" s="288" t="str">
        <f t="shared" si="18"/>
        <v>A.4.01</v>
      </c>
    </row>
    <row r="15" spans="1:24" ht="60" x14ac:dyDescent="0.25">
      <c r="A15" s="10">
        <v>13</v>
      </c>
      <c r="B15" s="280" t="str">
        <f t="shared" si="9"/>
        <v/>
      </c>
      <c r="C15" s="285"/>
      <c r="F15" s="10" t="s">
        <v>122</v>
      </c>
      <c r="G15" s="255" t="s">
        <v>169</v>
      </c>
      <c r="I15" s="287" t="str">
        <f t="shared" si="10"/>
        <v/>
      </c>
      <c r="J15" s="202" t="str">
        <f t="shared" si="11"/>
        <v/>
      </c>
      <c r="K15" s="202">
        <f t="shared" si="12"/>
        <v>3</v>
      </c>
      <c r="L15" s="202" t="str">
        <f t="shared" si="13"/>
        <v/>
      </c>
      <c r="M15" s="202" t="str">
        <f t="shared" si="14"/>
        <v/>
      </c>
      <c r="N15" s="202" t="str">
        <f t="shared" si="15"/>
        <v/>
      </c>
      <c r="O15" s="287">
        <f t="shared" si="16"/>
        <v>3</v>
      </c>
      <c r="Q15" s="243" t="str">
        <f t="shared" si="17"/>
        <v/>
      </c>
      <c r="R15" s="288" t="str">
        <f t="shared" si="18"/>
        <v/>
      </c>
    </row>
    <row r="16" spans="1:24" x14ac:dyDescent="0.25">
      <c r="A16" s="10">
        <v>14</v>
      </c>
      <c r="B16" s="280" t="str">
        <f t="shared" si="9"/>
        <v>A.5</v>
      </c>
      <c r="C16" s="285" t="s">
        <v>90</v>
      </c>
      <c r="D16" s="10">
        <v>5</v>
      </c>
      <c r="G16" s="255" t="s">
        <v>128</v>
      </c>
      <c r="I16" s="287" t="str">
        <f t="shared" si="10"/>
        <v/>
      </c>
      <c r="J16" s="202">
        <f t="shared" si="11"/>
        <v>2</v>
      </c>
      <c r="K16" s="202" t="str">
        <f t="shared" si="12"/>
        <v/>
      </c>
      <c r="L16" s="202" t="str">
        <f t="shared" si="13"/>
        <v/>
      </c>
      <c r="M16" s="202" t="str">
        <f t="shared" si="14"/>
        <v/>
      </c>
      <c r="N16" s="202" t="str">
        <f t="shared" si="15"/>
        <v/>
      </c>
      <c r="O16" s="287">
        <f t="shared" si="16"/>
        <v>2</v>
      </c>
      <c r="Q16" s="243" t="str">
        <f t="shared" si="17"/>
        <v/>
      </c>
      <c r="R16" s="288" t="str">
        <f t="shared" si="18"/>
        <v>A.5</v>
      </c>
    </row>
    <row r="17" spans="1:18" ht="30" x14ac:dyDescent="0.25">
      <c r="A17" s="10">
        <v>15</v>
      </c>
      <c r="B17" s="280" t="str">
        <f t="shared" si="9"/>
        <v>A.5.01</v>
      </c>
      <c r="C17" s="285" t="s">
        <v>90</v>
      </c>
      <c r="D17" s="10">
        <v>5</v>
      </c>
      <c r="E17" s="10">
        <v>1</v>
      </c>
      <c r="G17" s="255" t="s">
        <v>170</v>
      </c>
      <c r="H17" s="286">
        <v>1</v>
      </c>
      <c r="I17" s="287" t="str">
        <f t="shared" si="10"/>
        <v/>
      </c>
      <c r="J17" s="202" t="str">
        <f t="shared" si="11"/>
        <v/>
      </c>
      <c r="K17" s="202" t="str">
        <f t="shared" si="12"/>
        <v/>
      </c>
      <c r="L17" s="202" t="str">
        <f t="shared" si="13"/>
        <v/>
      </c>
      <c r="M17" s="202">
        <f t="shared" si="14"/>
        <v>5</v>
      </c>
      <c r="N17" s="202" t="str">
        <f t="shared" si="15"/>
        <v/>
      </c>
      <c r="O17" s="287">
        <f t="shared" si="16"/>
        <v>5</v>
      </c>
      <c r="Q17" s="243" t="str">
        <f t="shared" si="17"/>
        <v>01</v>
      </c>
      <c r="R17" s="288" t="str">
        <f t="shared" si="18"/>
        <v>A.5.01</v>
      </c>
    </row>
    <row r="18" spans="1:18" ht="90" x14ac:dyDescent="0.25">
      <c r="A18" s="10">
        <v>16</v>
      </c>
      <c r="B18" s="280" t="str">
        <f t="shared" si="9"/>
        <v/>
      </c>
      <c r="C18" s="285"/>
      <c r="F18" s="10" t="s">
        <v>122</v>
      </c>
      <c r="G18" s="255" t="s">
        <v>171</v>
      </c>
      <c r="I18" s="287" t="str">
        <f t="shared" si="10"/>
        <v/>
      </c>
      <c r="J18" s="202" t="str">
        <f t="shared" si="11"/>
        <v/>
      </c>
      <c r="K18" s="202">
        <f t="shared" si="12"/>
        <v>3</v>
      </c>
      <c r="L18" s="202" t="str">
        <f t="shared" si="13"/>
        <v/>
      </c>
      <c r="M18" s="202" t="str">
        <f t="shared" si="14"/>
        <v/>
      </c>
      <c r="N18" s="202" t="str">
        <f t="shared" si="15"/>
        <v/>
      </c>
      <c r="O18" s="287">
        <f t="shared" si="16"/>
        <v>3</v>
      </c>
      <c r="Q18" s="243" t="str">
        <f t="shared" si="17"/>
        <v/>
      </c>
      <c r="R18" s="288" t="str">
        <f t="shared" si="18"/>
        <v/>
      </c>
    </row>
    <row r="19" spans="1:18" x14ac:dyDescent="0.25">
      <c r="A19" s="10">
        <v>17</v>
      </c>
      <c r="B19" s="280" t="str">
        <f t="shared" si="9"/>
        <v>A.6</v>
      </c>
      <c r="C19" s="285" t="s">
        <v>90</v>
      </c>
      <c r="D19" s="10">
        <v>6</v>
      </c>
      <c r="G19" s="255" t="s">
        <v>147</v>
      </c>
      <c r="I19" s="287" t="str">
        <f t="shared" si="10"/>
        <v/>
      </c>
      <c r="J19" s="202">
        <f t="shared" si="11"/>
        <v>2</v>
      </c>
      <c r="K19" s="202" t="str">
        <f t="shared" si="12"/>
        <v/>
      </c>
      <c r="L19" s="202" t="str">
        <f t="shared" si="13"/>
        <v/>
      </c>
      <c r="M19" s="202" t="str">
        <f t="shared" si="14"/>
        <v/>
      </c>
      <c r="N19" s="202" t="str">
        <f t="shared" si="15"/>
        <v/>
      </c>
      <c r="O19" s="287">
        <f t="shared" si="16"/>
        <v>2</v>
      </c>
      <c r="Q19" s="243" t="str">
        <f t="shared" si="17"/>
        <v/>
      </c>
      <c r="R19" s="288" t="str">
        <f t="shared" si="18"/>
        <v>A.6</v>
      </c>
    </row>
    <row r="20" spans="1:18" x14ac:dyDescent="0.25">
      <c r="A20" s="10">
        <v>18</v>
      </c>
      <c r="B20" s="280" t="str">
        <f t="shared" si="9"/>
        <v>A.6.01</v>
      </c>
      <c r="C20" s="285" t="s">
        <v>90</v>
      </c>
      <c r="D20" s="10">
        <v>6</v>
      </c>
      <c r="E20" s="10">
        <v>1</v>
      </c>
      <c r="G20" s="255" t="s">
        <v>124</v>
      </c>
      <c r="H20" s="286">
        <v>1</v>
      </c>
      <c r="I20" s="287" t="str">
        <f t="shared" si="10"/>
        <v/>
      </c>
      <c r="J20" s="202" t="str">
        <f t="shared" si="11"/>
        <v/>
      </c>
      <c r="K20" s="202" t="str">
        <f t="shared" si="12"/>
        <v/>
      </c>
      <c r="L20" s="202" t="str">
        <f t="shared" si="13"/>
        <v/>
      </c>
      <c r="M20" s="202">
        <f t="shared" si="14"/>
        <v>5</v>
      </c>
      <c r="N20" s="202" t="str">
        <f t="shared" si="15"/>
        <v/>
      </c>
      <c r="O20" s="287">
        <f t="shared" si="16"/>
        <v>5</v>
      </c>
      <c r="Q20" s="243" t="str">
        <f t="shared" si="17"/>
        <v>01</v>
      </c>
      <c r="R20" s="288" t="str">
        <f t="shared" si="18"/>
        <v>A.6.01</v>
      </c>
    </row>
    <row r="21" spans="1:18" ht="60" x14ac:dyDescent="0.25">
      <c r="A21" s="10">
        <v>19</v>
      </c>
      <c r="B21" s="280" t="str">
        <f t="shared" si="9"/>
        <v/>
      </c>
      <c r="C21" s="285"/>
      <c r="F21" s="10" t="s">
        <v>122</v>
      </c>
      <c r="G21" s="255" t="s">
        <v>172</v>
      </c>
      <c r="I21" s="287" t="str">
        <f t="shared" si="10"/>
        <v/>
      </c>
      <c r="J21" s="202" t="str">
        <f t="shared" si="11"/>
        <v/>
      </c>
      <c r="K21" s="202">
        <f t="shared" si="12"/>
        <v>3</v>
      </c>
      <c r="L21" s="202" t="str">
        <f t="shared" si="13"/>
        <v/>
      </c>
      <c r="M21" s="202" t="str">
        <f t="shared" si="14"/>
        <v/>
      </c>
      <c r="N21" s="202" t="str">
        <f t="shared" si="15"/>
        <v/>
      </c>
      <c r="O21" s="287">
        <f t="shared" si="16"/>
        <v>3</v>
      </c>
      <c r="Q21" s="243" t="str">
        <f t="shared" si="17"/>
        <v/>
      </c>
      <c r="R21" s="288" t="str">
        <f t="shared" si="18"/>
        <v/>
      </c>
    </row>
    <row r="22" spans="1:18" x14ac:dyDescent="0.25">
      <c r="A22" s="10">
        <v>20</v>
      </c>
      <c r="B22" s="280" t="str">
        <f t="shared" si="9"/>
        <v>A.7</v>
      </c>
      <c r="C22" s="285" t="s">
        <v>90</v>
      </c>
      <c r="D22" s="10">
        <v>7</v>
      </c>
      <c r="G22" s="255" t="s">
        <v>225</v>
      </c>
      <c r="I22" s="287" t="str">
        <f t="shared" si="10"/>
        <v/>
      </c>
      <c r="J22" s="202">
        <f t="shared" si="11"/>
        <v>2</v>
      </c>
      <c r="K22" s="202" t="str">
        <f t="shared" si="12"/>
        <v/>
      </c>
      <c r="L22" s="202" t="str">
        <f t="shared" si="13"/>
        <v/>
      </c>
      <c r="M22" s="202" t="str">
        <f t="shared" si="14"/>
        <v/>
      </c>
      <c r="N22" s="202" t="str">
        <f t="shared" si="15"/>
        <v/>
      </c>
      <c r="O22" s="287">
        <f t="shared" si="16"/>
        <v>2</v>
      </c>
      <c r="Q22" s="243" t="str">
        <f t="shared" si="17"/>
        <v/>
      </c>
      <c r="R22" s="288" t="str">
        <f t="shared" si="18"/>
        <v>A.7</v>
      </c>
    </row>
    <row r="23" spans="1:18" ht="45" x14ac:dyDescent="0.25">
      <c r="A23" s="10">
        <v>21</v>
      </c>
      <c r="B23" s="280" t="str">
        <f t="shared" si="9"/>
        <v>A.7.01</v>
      </c>
      <c r="C23" s="285" t="s">
        <v>90</v>
      </c>
      <c r="D23" s="10">
        <v>7</v>
      </c>
      <c r="E23" s="10">
        <v>1</v>
      </c>
      <c r="G23" s="255" t="s">
        <v>173</v>
      </c>
      <c r="H23" s="286">
        <v>1</v>
      </c>
      <c r="I23" s="287" t="str">
        <f t="shared" si="10"/>
        <v/>
      </c>
      <c r="J23" s="202" t="str">
        <f t="shared" si="11"/>
        <v/>
      </c>
      <c r="K23" s="202" t="str">
        <f t="shared" si="12"/>
        <v/>
      </c>
      <c r="L23" s="202" t="str">
        <f t="shared" si="13"/>
        <v/>
      </c>
      <c r="M23" s="202">
        <f t="shared" si="14"/>
        <v>5</v>
      </c>
      <c r="N23" s="202" t="str">
        <f t="shared" si="15"/>
        <v/>
      </c>
      <c r="O23" s="287">
        <f t="shared" si="16"/>
        <v>5</v>
      </c>
      <c r="Q23" s="243" t="str">
        <f t="shared" si="17"/>
        <v>01</v>
      </c>
      <c r="R23" s="288" t="str">
        <f t="shared" si="18"/>
        <v>A.7.01</v>
      </c>
    </row>
    <row r="24" spans="1:18" ht="75" x14ac:dyDescent="0.25">
      <c r="A24" s="10">
        <v>22</v>
      </c>
      <c r="B24" s="280" t="str">
        <f t="shared" si="9"/>
        <v/>
      </c>
      <c r="C24" s="285"/>
      <c r="F24" s="10" t="s">
        <v>122</v>
      </c>
      <c r="G24" s="255" t="s">
        <v>174</v>
      </c>
      <c r="I24" s="287" t="str">
        <f t="shared" si="10"/>
        <v/>
      </c>
      <c r="J24" s="202" t="str">
        <f t="shared" si="11"/>
        <v/>
      </c>
      <c r="K24" s="202">
        <f t="shared" si="12"/>
        <v>3</v>
      </c>
      <c r="L24" s="202" t="str">
        <f t="shared" si="13"/>
        <v/>
      </c>
      <c r="M24" s="202" t="str">
        <f t="shared" si="14"/>
        <v/>
      </c>
      <c r="N24" s="202" t="str">
        <f t="shared" si="15"/>
        <v/>
      </c>
      <c r="O24" s="287">
        <f t="shared" si="16"/>
        <v>3</v>
      </c>
      <c r="Q24" s="243" t="str">
        <f t="shared" si="17"/>
        <v/>
      </c>
      <c r="R24" s="288" t="str">
        <f t="shared" si="18"/>
        <v/>
      </c>
    </row>
    <row r="25" spans="1:18" x14ac:dyDescent="0.25">
      <c r="A25" s="10">
        <v>23</v>
      </c>
      <c r="B25" s="280" t="str">
        <f t="shared" si="9"/>
        <v>B</v>
      </c>
      <c r="C25" s="285" t="s">
        <v>91</v>
      </c>
      <c r="G25" s="255" t="s">
        <v>148</v>
      </c>
      <c r="I25" s="287">
        <f t="shared" si="10"/>
        <v>1</v>
      </c>
      <c r="J25" s="202" t="str">
        <f t="shared" si="11"/>
        <v/>
      </c>
      <c r="K25" s="202" t="str">
        <f t="shared" si="12"/>
        <v/>
      </c>
      <c r="L25" s="202" t="str">
        <f t="shared" si="13"/>
        <v/>
      </c>
      <c r="M25" s="202" t="str">
        <f t="shared" si="14"/>
        <v/>
      </c>
      <c r="N25" s="202" t="str">
        <f t="shared" si="15"/>
        <v/>
      </c>
      <c r="O25" s="287">
        <f t="shared" si="16"/>
        <v>1</v>
      </c>
      <c r="Q25" s="243" t="str">
        <f t="shared" si="17"/>
        <v/>
      </c>
      <c r="R25" s="288" t="str">
        <f t="shared" si="18"/>
        <v>B</v>
      </c>
    </row>
    <row r="26" spans="1:18" x14ac:dyDescent="0.25">
      <c r="A26" s="10">
        <v>24</v>
      </c>
      <c r="B26" s="280" t="str">
        <f t="shared" si="9"/>
        <v>B.1</v>
      </c>
      <c r="C26" s="285" t="s">
        <v>91</v>
      </c>
      <c r="D26" s="10">
        <v>1</v>
      </c>
      <c r="G26" s="255" t="s">
        <v>149</v>
      </c>
      <c r="I26" s="287" t="str">
        <f t="shared" si="10"/>
        <v/>
      </c>
      <c r="J26" s="202">
        <f t="shared" si="11"/>
        <v>2</v>
      </c>
      <c r="K26" s="202" t="str">
        <f t="shared" si="12"/>
        <v/>
      </c>
      <c r="L26" s="202" t="str">
        <f t="shared" si="13"/>
        <v/>
      </c>
      <c r="M26" s="202" t="str">
        <f t="shared" si="14"/>
        <v/>
      </c>
      <c r="N26" s="202" t="str">
        <f t="shared" si="15"/>
        <v/>
      </c>
      <c r="O26" s="287">
        <f t="shared" si="16"/>
        <v>2</v>
      </c>
      <c r="Q26" s="243" t="str">
        <f t="shared" si="17"/>
        <v/>
      </c>
      <c r="R26" s="288" t="str">
        <f t="shared" si="18"/>
        <v>B.1</v>
      </c>
    </row>
    <row r="27" spans="1:18" ht="30" x14ac:dyDescent="0.25">
      <c r="A27" s="10">
        <v>25</v>
      </c>
      <c r="B27" s="280" t="str">
        <f t="shared" si="9"/>
        <v>B.1.01</v>
      </c>
      <c r="C27" s="285" t="s">
        <v>91</v>
      </c>
      <c r="D27" s="10">
        <v>1</v>
      </c>
      <c r="E27" s="10">
        <v>1</v>
      </c>
      <c r="G27" s="255" t="s">
        <v>175</v>
      </c>
      <c r="H27" s="286">
        <v>1</v>
      </c>
      <c r="I27" s="287" t="str">
        <f t="shared" si="10"/>
        <v/>
      </c>
      <c r="J27" s="202" t="str">
        <f t="shared" si="11"/>
        <v/>
      </c>
      <c r="K27" s="202" t="str">
        <f t="shared" si="12"/>
        <v/>
      </c>
      <c r="L27" s="202" t="str">
        <f t="shared" si="13"/>
        <v/>
      </c>
      <c r="M27" s="202">
        <f t="shared" si="14"/>
        <v>5</v>
      </c>
      <c r="N27" s="202" t="str">
        <f t="shared" si="15"/>
        <v/>
      </c>
      <c r="O27" s="287">
        <f t="shared" si="16"/>
        <v>5</v>
      </c>
      <c r="Q27" s="243" t="str">
        <f t="shared" si="17"/>
        <v>01</v>
      </c>
      <c r="R27" s="288" t="str">
        <f t="shared" si="18"/>
        <v>B.1.01</v>
      </c>
    </row>
    <row r="28" spans="1:18" ht="120" x14ac:dyDescent="0.25">
      <c r="A28" s="10">
        <v>26</v>
      </c>
      <c r="B28" s="280" t="str">
        <f t="shared" si="9"/>
        <v/>
      </c>
      <c r="C28" s="285"/>
      <c r="F28" s="10" t="s">
        <v>122</v>
      </c>
      <c r="G28" s="255" t="s">
        <v>218</v>
      </c>
      <c r="I28" s="287" t="str">
        <f t="shared" si="10"/>
        <v/>
      </c>
      <c r="J28" s="202" t="str">
        <f t="shared" si="11"/>
        <v/>
      </c>
      <c r="K28" s="202">
        <f t="shared" si="12"/>
        <v>3</v>
      </c>
      <c r="L28" s="202" t="str">
        <f t="shared" si="13"/>
        <v/>
      </c>
      <c r="M28" s="202" t="str">
        <f t="shared" si="14"/>
        <v/>
      </c>
      <c r="N28" s="202" t="str">
        <f t="shared" si="15"/>
        <v/>
      </c>
      <c r="O28" s="287">
        <f t="shared" si="16"/>
        <v>3</v>
      </c>
      <c r="Q28" s="243" t="str">
        <f t="shared" si="17"/>
        <v/>
      </c>
      <c r="R28" s="288" t="str">
        <f t="shared" si="18"/>
        <v/>
      </c>
    </row>
    <row r="29" spans="1:18" x14ac:dyDescent="0.25">
      <c r="A29" s="10">
        <v>27</v>
      </c>
      <c r="B29" s="280" t="str">
        <f t="shared" si="9"/>
        <v>B.2</v>
      </c>
      <c r="C29" s="285" t="s">
        <v>91</v>
      </c>
      <c r="D29" s="10">
        <v>2</v>
      </c>
      <c r="G29" s="255" t="s">
        <v>129</v>
      </c>
      <c r="I29" s="287" t="str">
        <f t="shared" si="10"/>
        <v/>
      </c>
      <c r="J29" s="202">
        <f t="shared" si="11"/>
        <v>2</v>
      </c>
      <c r="K29" s="202" t="str">
        <f t="shared" si="12"/>
        <v/>
      </c>
      <c r="L29" s="202" t="str">
        <f t="shared" si="13"/>
        <v/>
      </c>
      <c r="M29" s="202" t="str">
        <f t="shared" si="14"/>
        <v/>
      </c>
      <c r="N29" s="202" t="str">
        <f t="shared" si="15"/>
        <v/>
      </c>
      <c r="O29" s="287">
        <f t="shared" si="16"/>
        <v>2</v>
      </c>
      <c r="Q29" s="243" t="str">
        <f t="shared" si="17"/>
        <v/>
      </c>
      <c r="R29" s="288" t="str">
        <f t="shared" si="18"/>
        <v>B.2</v>
      </c>
    </row>
    <row r="30" spans="1:18" x14ac:dyDescent="0.25">
      <c r="A30" s="10">
        <v>28</v>
      </c>
      <c r="B30" s="280" t="str">
        <f t="shared" si="9"/>
        <v>B.2.01</v>
      </c>
      <c r="C30" s="285" t="s">
        <v>91</v>
      </c>
      <c r="D30" s="10">
        <v>2</v>
      </c>
      <c r="E30" s="10">
        <v>1</v>
      </c>
      <c r="G30" s="255" t="s">
        <v>176</v>
      </c>
      <c r="H30" s="286">
        <v>1</v>
      </c>
      <c r="I30" s="287" t="str">
        <f t="shared" si="10"/>
        <v/>
      </c>
      <c r="J30" s="202" t="str">
        <f t="shared" si="11"/>
        <v/>
      </c>
      <c r="K30" s="202" t="str">
        <f t="shared" si="12"/>
        <v/>
      </c>
      <c r="L30" s="202" t="str">
        <f t="shared" si="13"/>
        <v/>
      </c>
      <c r="M30" s="202">
        <f t="shared" si="14"/>
        <v>5</v>
      </c>
      <c r="N30" s="202" t="str">
        <f t="shared" si="15"/>
        <v/>
      </c>
      <c r="O30" s="287">
        <f t="shared" si="16"/>
        <v>5</v>
      </c>
      <c r="Q30" s="243" t="str">
        <f t="shared" si="17"/>
        <v>01</v>
      </c>
      <c r="R30" s="288" t="str">
        <f t="shared" si="18"/>
        <v>B.2.01</v>
      </c>
    </row>
    <row r="31" spans="1:18" ht="45" x14ac:dyDescent="0.25">
      <c r="A31" s="10">
        <v>29</v>
      </c>
      <c r="B31" s="280" t="str">
        <f t="shared" si="9"/>
        <v/>
      </c>
      <c r="C31" s="285"/>
      <c r="F31" s="10" t="s">
        <v>122</v>
      </c>
      <c r="G31" s="255" t="s">
        <v>177</v>
      </c>
      <c r="I31" s="287" t="str">
        <f t="shared" si="10"/>
        <v/>
      </c>
      <c r="J31" s="202" t="str">
        <f t="shared" si="11"/>
        <v/>
      </c>
      <c r="K31" s="202">
        <f t="shared" si="12"/>
        <v>3</v>
      </c>
      <c r="L31" s="202" t="str">
        <f t="shared" si="13"/>
        <v/>
      </c>
      <c r="M31" s="202" t="str">
        <f t="shared" si="14"/>
        <v/>
      </c>
      <c r="N31" s="202" t="str">
        <f t="shared" si="15"/>
        <v/>
      </c>
      <c r="O31" s="287">
        <f t="shared" si="16"/>
        <v>3</v>
      </c>
      <c r="Q31" s="243" t="str">
        <f t="shared" si="17"/>
        <v/>
      </c>
      <c r="R31" s="288" t="str">
        <f t="shared" si="18"/>
        <v/>
      </c>
    </row>
    <row r="32" spans="1:18" x14ac:dyDescent="0.25">
      <c r="A32" s="10">
        <v>30</v>
      </c>
      <c r="B32" s="280" t="str">
        <f t="shared" si="9"/>
        <v>B.3</v>
      </c>
      <c r="C32" s="285" t="s">
        <v>91</v>
      </c>
      <c r="D32" s="10">
        <v>3</v>
      </c>
      <c r="G32" s="255" t="s">
        <v>150</v>
      </c>
      <c r="I32" s="287" t="str">
        <f t="shared" si="10"/>
        <v/>
      </c>
      <c r="J32" s="202">
        <f t="shared" si="11"/>
        <v>2</v>
      </c>
      <c r="K32" s="202" t="str">
        <f t="shared" si="12"/>
        <v/>
      </c>
      <c r="L32" s="202" t="str">
        <f t="shared" si="13"/>
        <v/>
      </c>
      <c r="M32" s="202" t="str">
        <f t="shared" si="14"/>
        <v/>
      </c>
      <c r="N32" s="202" t="str">
        <f t="shared" si="15"/>
        <v/>
      </c>
      <c r="O32" s="287">
        <f t="shared" si="16"/>
        <v>2</v>
      </c>
      <c r="Q32" s="243" t="str">
        <f t="shared" si="17"/>
        <v/>
      </c>
      <c r="R32" s="288" t="str">
        <f t="shared" si="18"/>
        <v>B.3</v>
      </c>
    </row>
    <row r="33" spans="1:18" ht="30" x14ac:dyDescent="0.25">
      <c r="A33" s="10">
        <v>31</v>
      </c>
      <c r="B33" s="280" t="str">
        <f t="shared" si="9"/>
        <v>B.3.01</v>
      </c>
      <c r="C33" s="285" t="s">
        <v>91</v>
      </c>
      <c r="D33" s="10">
        <v>3</v>
      </c>
      <c r="E33" s="10">
        <v>1</v>
      </c>
      <c r="G33" s="255" t="s">
        <v>178</v>
      </c>
      <c r="H33" s="286">
        <v>1</v>
      </c>
      <c r="I33" s="287" t="str">
        <f t="shared" si="10"/>
        <v/>
      </c>
      <c r="J33" s="202" t="str">
        <f t="shared" si="11"/>
        <v/>
      </c>
      <c r="K33" s="202" t="str">
        <f t="shared" si="12"/>
        <v/>
      </c>
      <c r="L33" s="202" t="str">
        <f t="shared" si="13"/>
        <v/>
      </c>
      <c r="M33" s="202">
        <f t="shared" si="14"/>
        <v>5</v>
      </c>
      <c r="N33" s="202" t="str">
        <f t="shared" si="15"/>
        <v/>
      </c>
      <c r="O33" s="287">
        <f t="shared" si="16"/>
        <v>5</v>
      </c>
      <c r="Q33" s="243" t="str">
        <f t="shared" si="17"/>
        <v>01</v>
      </c>
      <c r="R33" s="288" t="str">
        <f t="shared" si="18"/>
        <v>B.3.01</v>
      </c>
    </row>
    <row r="34" spans="1:18" ht="105" x14ac:dyDescent="0.25">
      <c r="A34" s="10">
        <v>32</v>
      </c>
      <c r="B34" s="280" t="str">
        <f t="shared" si="9"/>
        <v/>
      </c>
      <c r="C34" s="285"/>
      <c r="F34" s="10" t="s">
        <v>122</v>
      </c>
      <c r="G34" s="255" t="s">
        <v>179</v>
      </c>
      <c r="I34" s="287" t="str">
        <f t="shared" si="10"/>
        <v/>
      </c>
      <c r="J34" s="202" t="str">
        <f t="shared" si="11"/>
        <v/>
      </c>
      <c r="K34" s="202">
        <f t="shared" si="12"/>
        <v>3</v>
      </c>
      <c r="L34" s="202" t="str">
        <f t="shared" si="13"/>
        <v/>
      </c>
      <c r="M34" s="202" t="str">
        <f t="shared" si="14"/>
        <v/>
      </c>
      <c r="N34" s="202" t="str">
        <f t="shared" si="15"/>
        <v/>
      </c>
      <c r="O34" s="287">
        <f t="shared" si="16"/>
        <v>3</v>
      </c>
      <c r="Q34" s="243" t="str">
        <f t="shared" si="17"/>
        <v/>
      </c>
      <c r="R34" s="288" t="str">
        <f t="shared" si="18"/>
        <v/>
      </c>
    </row>
    <row r="35" spans="1:18" x14ac:dyDescent="0.25">
      <c r="A35" s="10">
        <v>33</v>
      </c>
      <c r="B35" s="280" t="str">
        <f t="shared" si="9"/>
        <v>B.4</v>
      </c>
      <c r="C35" s="285" t="s">
        <v>91</v>
      </c>
      <c r="D35" s="10">
        <v>4</v>
      </c>
      <c r="G35" s="255" t="s">
        <v>93</v>
      </c>
      <c r="I35" s="287" t="str">
        <f t="shared" si="10"/>
        <v/>
      </c>
      <c r="J35" s="202">
        <f t="shared" si="11"/>
        <v>2</v>
      </c>
      <c r="K35" s="202" t="str">
        <f t="shared" si="12"/>
        <v/>
      </c>
      <c r="L35" s="202" t="str">
        <f t="shared" si="13"/>
        <v/>
      </c>
      <c r="M35" s="202" t="str">
        <f t="shared" si="14"/>
        <v/>
      </c>
      <c r="N35" s="202" t="str">
        <f t="shared" si="15"/>
        <v/>
      </c>
      <c r="O35" s="287">
        <f t="shared" si="16"/>
        <v>2</v>
      </c>
      <c r="Q35" s="243" t="str">
        <f t="shared" si="17"/>
        <v/>
      </c>
      <c r="R35" s="288" t="str">
        <f t="shared" si="18"/>
        <v>B.4</v>
      </c>
    </row>
    <row r="36" spans="1:18" ht="60" x14ac:dyDescent="0.25">
      <c r="A36" s="10">
        <v>34</v>
      </c>
      <c r="B36" s="280" t="str">
        <f t="shared" si="9"/>
        <v>B.4.01</v>
      </c>
      <c r="C36" s="285" t="s">
        <v>91</v>
      </c>
      <c r="D36" s="10">
        <v>4</v>
      </c>
      <c r="E36" s="10">
        <v>1</v>
      </c>
      <c r="G36" s="255" t="s">
        <v>180</v>
      </c>
      <c r="H36" s="286">
        <v>1</v>
      </c>
      <c r="I36" s="287" t="str">
        <f t="shared" si="10"/>
        <v/>
      </c>
      <c r="J36" s="202" t="str">
        <f t="shared" si="11"/>
        <v/>
      </c>
      <c r="K36" s="202" t="str">
        <f t="shared" si="12"/>
        <v/>
      </c>
      <c r="L36" s="202" t="str">
        <f t="shared" si="13"/>
        <v/>
      </c>
      <c r="M36" s="202">
        <f t="shared" si="14"/>
        <v>5</v>
      </c>
      <c r="N36" s="202" t="str">
        <f t="shared" si="15"/>
        <v/>
      </c>
      <c r="O36" s="287">
        <f t="shared" si="16"/>
        <v>5</v>
      </c>
      <c r="Q36" s="243" t="str">
        <f t="shared" si="17"/>
        <v>01</v>
      </c>
      <c r="R36" s="288" t="str">
        <f t="shared" si="18"/>
        <v>B.4.01</v>
      </c>
    </row>
    <row r="37" spans="1:18" ht="75" x14ac:dyDescent="0.25">
      <c r="A37" s="10">
        <v>35</v>
      </c>
      <c r="B37" s="280" t="str">
        <f t="shared" si="9"/>
        <v/>
      </c>
      <c r="C37" s="285"/>
      <c r="F37" s="10" t="s">
        <v>122</v>
      </c>
      <c r="G37" s="255" t="s">
        <v>215</v>
      </c>
      <c r="I37" s="287" t="str">
        <f t="shared" si="10"/>
        <v/>
      </c>
      <c r="J37" s="202" t="str">
        <f t="shared" si="11"/>
        <v/>
      </c>
      <c r="K37" s="202">
        <f t="shared" si="12"/>
        <v>3</v>
      </c>
      <c r="L37" s="202" t="str">
        <f t="shared" si="13"/>
        <v/>
      </c>
      <c r="M37" s="202" t="str">
        <f t="shared" si="14"/>
        <v/>
      </c>
      <c r="N37" s="202" t="str">
        <f t="shared" si="15"/>
        <v/>
      </c>
      <c r="O37" s="287">
        <f t="shared" si="16"/>
        <v>3</v>
      </c>
      <c r="Q37" s="243" t="str">
        <f t="shared" si="17"/>
        <v/>
      </c>
      <c r="R37" s="288" t="str">
        <f t="shared" si="18"/>
        <v/>
      </c>
    </row>
    <row r="38" spans="1:18" ht="120" x14ac:dyDescent="0.25">
      <c r="A38" s="10">
        <v>36</v>
      </c>
      <c r="B38" s="280" t="str">
        <f t="shared" si="9"/>
        <v/>
      </c>
      <c r="C38" s="285"/>
      <c r="G38" s="255" t="s">
        <v>216</v>
      </c>
      <c r="I38" s="287" t="str">
        <f t="shared" si="10"/>
        <v/>
      </c>
      <c r="J38" s="202" t="str">
        <f t="shared" si="11"/>
        <v/>
      </c>
      <c r="K38" s="202">
        <f t="shared" si="12"/>
        <v>3</v>
      </c>
      <c r="L38" s="202" t="str">
        <f t="shared" si="13"/>
        <v/>
      </c>
      <c r="M38" s="202" t="str">
        <f t="shared" si="14"/>
        <v/>
      </c>
      <c r="N38" s="202" t="str">
        <f t="shared" si="15"/>
        <v/>
      </c>
      <c r="O38" s="287">
        <f t="shared" si="16"/>
        <v>3</v>
      </c>
      <c r="Q38" s="243" t="str">
        <f t="shared" si="17"/>
        <v/>
      </c>
      <c r="R38" s="288" t="str">
        <f t="shared" si="18"/>
        <v/>
      </c>
    </row>
    <row r="39" spans="1:18" x14ac:dyDescent="0.25">
      <c r="A39" s="10">
        <v>37</v>
      </c>
      <c r="B39" s="280" t="str">
        <f t="shared" si="9"/>
        <v>B.5</v>
      </c>
      <c r="C39" s="285" t="s">
        <v>91</v>
      </c>
      <c r="D39" s="10">
        <v>5</v>
      </c>
      <c r="G39" s="255" t="s">
        <v>211</v>
      </c>
      <c r="I39" s="287" t="str">
        <f t="shared" si="10"/>
        <v/>
      </c>
      <c r="J39" s="202">
        <f t="shared" si="11"/>
        <v>2</v>
      </c>
      <c r="K39" s="202" t="str">
        <f t="shared" si="12"/>
        <v/>
      </c>
      <c r="L39" s="202" t="str">
        <f t="shared" si="13"/>
        <v/>
      </c>
      <c r="M39" s="202" t="str">
        <f t="shared" si="14"/>
        <v/>
      </c>
      <c r="N39" s="202" t="str">
        <f t="shared" si="15"/>
        <v/>
      </c>
      <c r="O39" s="287">
        <f t="shared" si="16"/>
        <v>2</v>
      </c>
      <c r="Q39" s="243" t="str">
        <f t="shared" si="17"/>
        <v/>
      </c>
      <c r="R39" s="288" t="str">
        <f t="shared" si="18"/>
        <v>B.5</v>
      </c>
    </row>
    <row r="40" spans="1:18" ht="30" x14ac:dyDescent="0.25">
      <c r="A40" s="10">
        <v>38</v>
      </c>
      <c r="B40" s="280" t="str">
        <f t="shared" si="9"/>
        <v>B.5.01</v>
      </c>
      <c r="C40" s="285" t="s">
        <v>91</v>
      </c>
      <c r="D40" s="10">
        <v>5</v>
      </c>
      <c r="E40" s="10">
        <v>1</v>
      </c>
      <c r="G40" s="255" t="s">
        <v>181</v>
      </c>
      <c r="H40" s="286">
        <v>1</v>
      </c>
      <c r="I40" s="287" t="str">
        <f t="shared" si="10"/>
        <v/>
      </c>
      <c r="J40" s="202" t="str">
        <f t="shared" si="11"/>
        <v/>
      </c>
      <c r="K40" s="202" t="str">
        <f t="shared" si="12"/>
        <v/>
      </c>
      <c r="L40" s="202" t="str">
        <f t="shared" si="13"/>
        <v/>
      </c>
      <c r="M40" s="202">
        <f t="shared" si="14"/>
        <v>5</v>
      </c>
      <c r="N40" s="202" t="str">
        <f t="shared" si="15"/>
        <v/>
      </c>
      <c r="O40" s="287">
        <f t="shared" si="16"/>
        <v>5</v>
      </c>
      <c r="Q40" s="243" t="str">
        <f t="shared" si="17"/>
        <v>01</v>
      </c>
      <c r="R40" s="288" t="str">
        <f t="shared" si="18"/>
        <v>B.5.01</v>
      </c>
    </row>
    <row r="41" spans="1:18" ht="135" x14ac:dyDescent="0.25">
      <c r="A41" s="10">
        <v>39</v>
      </c>
      <c r="B41" s="280" t="str">
        <f t="shared" si="9"/>
        <v/>
      </c>
      <c r="C41" s="285"/>
      <c r="F41" s="10" t="s">
        <v>122</v>
      </c>
      <c r="G41" s="255" t="s">
        <v>182</v>
      </c>
      <c r="I41" s="287" t="str">
        <f t="shared" si="10"/>
        <v/>
      </c>
      <c r="J41" s="202" t="str">
        <f t="shared" si="11"/>
        <v/>
      </c>
      <c r="K41" s="202">
        <f t="shared" si="12"/>
        <v>3</v>
      </c>
      <c r="L41" s="202" t="str">
        <f t="shared" si="13"/>
        <v/>
      </c>
      <c r="M41" s="202" t="str">
        <f t="shared" si="14"/>
        <v/>
      </c>
      <c r="N41" s="202" t="str">
        <f t="shared" si="15"/>
        <v/>
      </c>
      <c r="O41" s="287">
        <f t="shared" si="16"/>
        <v>3</v>
      </c>
      <c r="Q41" s="243" t="str">
        <f t="shared" si="17"/>
        <v/>
      </c>
      <c r="R41" s="288" t="str">
        <f t="shared" si="18"/>
        <v/>
      </c>
    </row>
    <row r="42" spans="1:18" x14ac:dyDescent="0.25">
      <c r="A42" s="10">
        <v>40</v>
      </c>
      <c r="B42" s="280" t="str">
        <f t="shared" si="9"/>
        <v>B.6</v>
      </c>
      <c r="C42" s="285" t="s">
        <v>91</v>
      </c>
      <c r="D42" s="10">
        <v>6</v>
      </c>
      <c r="G42" s="255" t="s">
        <v>130</v>
      </c>
      <c r="I42" s="287" t="str">
        <f t="shared" si="10"/>
        <v/>
      </c>
      <c r="J42" s="202">
        <f t="shared" si="11"/>
        <v>2</v>
      </c>
      <c r="K42" s="202" t="str">
        <f t="shared" si="12"/>
        <v/>
      </c>
      <c r="L42" s="202" t="str">
        <f t="shared" si="13"/>
        <v/>
      </c>
      <c r="M42" s="202" t="str">
        <f t="shared" si="14"/>
        <v/>
      </c>
      <c r="N42" s="202" t="str">
        <f t="shared" si="15"/>
        <v/>
      </c>
      <c r="O42" s="287">
        <f t="shared" si="16"/>
        <v>2</v>
      </c>
      <c r="Q42" s="243" t="str">
        <f t="shared" si="17"/>
        <v/>
      </c>
      <c r="R42" s="288" t="str">
        <f t="shared" si="18"/>
        <v>B.6</v>
      </c>
    </row>
    <row r="43" spans="1:18" x14ac:dyDescent="0.25">
      <c r="A43" s="10">
        <v>41</v>
      </c>
      <c r="B43" s="280" t="str">
        <f t="shared" si="9"/>
        <v>B.6.01</v>
      </c>
      <c r="C43" s="285" t="s">
        <v>91</v>
      </c>
      <c r="D43" s="10">
        <v>6</v>
      </c>
      <c r="E43" s="10">
        <v>1</v>
      </c>
      <c r="G43" s="255" t="s">
        <v>151</v>
      </c>
      <c r="H43" s="286">
        <v>1</v>
      </c>
      <c r="I43" s="287" t="str">
        <f t="shared" si="10"/>
        <v/>
      </c>
      <c r="J43" s="202" t="str">
        <f t="shared" si="11"/>
        <v/>
      </c>
      <c r="K43" s="202" t="str">
        <f t="shared" si="12"/>
        <v/>
      </c>
      <c r="L43" s="202" t="str">
        <f t="shared" si="13"/>
        <v/>
      </c>
      <c r="M43" s="202">
        <f t="shared" si="14"/>
        <v>5</v>
      </c>
      <c r="N43" s="202" t="str">
        <f t="shared" si="15"/>
        <v/>
      </c>
      <c r="O43" s="287">
        <f t="shared" si="16"/>
        <v>5</v>
      </c>
      <c r="Q43" s="243" t="str">
        <f t="shared" si="17"/>
        <v>01</v>
      </c>
      <c r="R43" s="288" t="str">
        <f t="shared" si="18"/>
        <v>B.6.01</v>
      </c>
    </row>
    <row r="44" spans="1:18" ht="75" x14ac:dyDescent="0.25">
      <c r="A44" s="10">
        <v>42</v>
      </c>
      <c r="B44" s="280" t="str">
        <f t="shared" si="9"/>
        <v/>
      </c>
      <c r="C44" s="285"/>
      <c r="F44" s="10" t="s">
        <v>122</v>
      </c>
      <c r="G44" s="255" t="s">
        <v>183</v>
      </c>
      <c r="I44" s="287" t="str">
        <f t="shared" si="10"/>
        <v/>
      </c>
      <c r="J44" s="202" t="str">
        <f t="shared" si="11"/>
        <v/>
      </c>
      <c r="K44" s="202">
        <f t="shared" si="12"/>
        <v>3</v>
      </c>
      <c r="L44" s="202" t="str">
        <f t="shared" si="13"/>
        <v/>
      </c>
      <c r="M44" s="202" t="str">
        <f t="shared" si="14"/>
        <v/>
      </c>
      <c r="N44" s="202" t="str">
        <f t="shared" si="15"/>
        <v/>
      </c>
      <c r="O44" s="287">
        <f t="shared" si="16"/>
        <v>3</v>
      </c>
      <c r="Q44" s="243" t="str">
        <f t="shared" si="17"/>
        <v/>
      </c>
      <c r="R44" s="288" t="str">
        <f t="shared" si="18"/>
        <v/>
      </c>
    </row>
    <row r="45" spans="1:18" x14ac:dyDescent="0.25">
      <c r="A45" s="10">
        <v>43</v>
      </c>
      <c r="B45" s="280" t="str">
        <f t="shared" si="9"/>
        <v>B.7</v>
      </c>
      <c r="C45" s="285" t="s">
        <v>91</v>
      </c>
      <c r="D45" s="10">
        <v>7</v>
      </c>
      <c r="G45" s="255" t="s">
        <v>152</v>
      </c>
      <c r="I45" s="287" t="str">
        <f t="shared" si="10"/>
        <v/>
      </c>
      <c r="J45" s="202">
        <f t="shared" si="11"/>
        <v>2</v>
      </c>
      <c r="K45" s="202" t="str">
        <f t="shared" si="12"/>
        <v/>
      </c>
      <c r="L45" s="202" t="str">
        <f t="shared" si="13"/>
        <v/>
      </c>
      <c r="M45" s="202" t="str">
        <f t="shared" si="14"/>
        <v/>
      </c>
      <c r="N45" s="202" t="str">
        <f t="shared" si="15"/>
        <v/>
      </c>
      <c r="O45" s="287">
        <f t="shared" si="16"/>
        <v>2</v>
      </c>
      <c r="Q45" s="243" t="str">
        <f t="shared" si="17"/>
        <v/>
      </c>
      <c r="R45" s="288" t="str">
        <f t="shared" si="18"/>
        <v>B.7</v>
      </c>
    </row>
    <row r="46" spans="1:18" ht="45" x14ac:dyDescent="0.25">
      <c r="A46" s="10">
        <v>44</v>
      </c>
      <c r="B46" s="280" t="str">
        <f t="shared" si="9"/>
        <v>B.7.01</v>
      </c>
      <c r="C46" s="285" t="s">
        <v>91</v>
      </c>
      <c r="D46" s="10">
        <v>7</v>
      </c>
      <c r="E46" s="10">
        <v>1</v>
      </c>
      <c r="G46" s="255" t="s">
        <v>184</v>
      </c>
      <c r="H46" s="286">
        <v>1</v>
      </c>
      <c r="I46" s="287" t="str">
        <f t="shared" si="10"/>
        <v/>
      </c>
      <c r="J46" s="202" t="str">
        <f t="shared" si="11"/>
        <v/>
      </c>
      <c r="K46" s="202" t="str">
        <f t="shared" si="12"/>
        <v/>
      </c>
      <c r="L46" s="202" t="str">
        <f t="shared" si="13"/>
        <v/>
      </c>
      <c r="M46" s="202">
        <f t="shared" si="14"/>
        <v>5</v>
      </c>
      <c r="N46" s="202" t="str">
        <f t="shared" si="15"/>
        <v/>
      </c>
      <c r="O46" s="287">
        <f t="shared" si="16"/>
        <v>5</v>
      </c>
      <c r="Q46" s="243" t="str">
        <f t="shared" si="17"/>
        <v>01</v>
      </c>
      <c r="R46" s="288" t="str">
        <f t="shared" si="18"/>
        <v>B.7.01</v>
      </c>
    </row>
    <row r="47" spans="1:18" ht="60" x14ac:dyDescent="0.25">
      <c r="A47" s="10">
        <v>45</v>
      </c>
      <c r="B47" s="280" t="str">
        <f t="shared" si="9"/>
        <v/>
      </c>
      <c r="C47" s="285"/>
      <c r="F47" s="10" t="s">
        <v>122</v>
      </c>
      <c r="G47" s="255" t="s">
        <v>219</v>
      </c>
      <c r="I47" s="287" t="str">
        <f t="shared" si="10"/>
        <v/>
      </c>
      <c r="J47" s="202" t="str">
        <f t="shared" si="11"/>
        <v/>
      </c>
      <c r="K47" s="202">
        <f t="shared" si="12"/>
        <v>3</v>
      </c>
      <c r="L47" s="202" t="str">
        <f t="shared" si="13"/>
        <v/>
      </c>
      <c r="M47" s="202" t="str">
        <f t="shared" si="14"/>
        <v/>
      </c>
      <c r="N47" s="202" t="str">
        <f t="shared" si="15"/>
        <v/>
      </c>
      <c r="O47" s="287">
        <f t="shared" si="16"/>
        <v>3</v>
      </c>
      <c r="Q47" s="243" t="str">
        <f t="shared" si="17"/>
        <v/>
      </c>
      <c r="R47" s="288" t="str">
        <f t="shared" si="18"/>
        <v/>
      </c>
    </row>
    <row r="48" spans="1:18" x14ac:dyDescent="0.25">
      <c r="A48" s="10">
        <v>46</v>
      </c>
      <c r="B48" s="280" t="str">
        <f t="shared" si="9"/>
        <v>B.8</v>
      </c>
      <c r="C48" s="285" t="s">
        <v>91</v>
      </c>
      <c r="D48" s="10">
        <v>8</v>
      </c>
      <c r="G48" s="255" t="s">
        <v>153</v>
      </c>
      <c r="I48" s="287" t="str">
        <f t="shared" si="10"/>
        <v/>
      </c>
      <c r="J48" s="202">
        <f t="shared" si="11"/>
        <v>2</v>
      </c>
      <c r="K48" s="202" t="str">
        <f t="shared" si="12"/>
        <v/>
      </c>
      <c r="L48" s="202" t="str">
        <f t="shared" si="13"/>
        <v/>
      </c>
      <c r="M48" s="202" t="str">
        <f t="shared" si="14"/>
        <v/>
      </c>
      <c r="N48" s="202" t="str">
        <f t="shared" si="15"/>
        <v/>
      </c>
      <c r="O48" s="287">
        <f t="shared" si="16"/>
        <v>2</v>
      </c>
      <c r="Q48" s="243" t="str">
        <f t="shared" si="17"/>
        <v/>
      </c>
      <c r="R48" s="288" t="str">
        <f t="shared" si="18"/>
        <v>B.8</v>
      </c>
    </row>
    <row r="49" spans="1:18" ht="45" x14ac:dyDescent="0.25">
      <c r="A49" s="10">
        <v>47</v>
      </c>
      <c r="B49" s="280" t="str">
        <f t="shared" si="9"/>
        <v>B.8.01</v>
      </c>
      <c r="C49" s="285" t="s">
        <v>91</v>
      </c>
      <c r="D49" s="10">
        <v>8</v>
      </c>
      <c r="E49" s="10">
        <v>1</v>
      </c>
      <c r="G49" s="255" t="s">
        <v>220</v>
      </c>
      <c r="H49" s="286">
        <v>1</v>
      </c>
      <c r="I49" s="287" t="str">
        <f t="shared" si="10"/>
        <v/>
      </c>
      <c r="J49" s="202" t="str">
        <f t="shared" si="11"/>
        <v/>
      </c>
      <c r="K49" s="202" t="str">
        <f t="shared" si="12"/>
        <v/>
      </c>
      <c r="L49" s="202" t="str">
        <f t="shared" si="13"/>
        <v/>
      </c>
      <c r="M49" s="202">
        <f t="shared" si="14"/>
        <v>5</v>
      </c>
      <c r="N49" s="202" t="str">
        <f t="shared" si="15"/>
        <v/>
      </c>
      <c r="O49" s="287">
        <f t="shared" si="16"/>
        <v>5</v>
      </c>
      <c r="Q49" s="243" t="str">
        <f t="shared" si="17"/>
        <v>01</v>
      </c>
      <c r="R49" s="288" t="str">
        <f t="shared" si="18"/>
        <v>B.8.01</v>
      </c>
    </row>
    <row r="50" spans="1:18" ht="75" x14ac:dyDescent="0.25">
      <c r="A50" s="10">
        <v>48</v>
      </c>
      <c r="B50" s="280" t="str">
        <f t="shared" si="9"/>
        <v/>
      </c>
      <c r="C50" s="285"/>
      <c r="F50" s="10" t="s">
        <v>122</v>
      </c>
      <c r="G50" s="255" t="s">
        <v>217</v>
      </c>
      <c r="I50" s="287" t="str">
        <f t="shared" si="10"/>
        <v/>
      </c>
      <c r="J50" s="202" t="str">
        <f t="shared" si="11"/>
        <v/>
      </c>
      <c r="K50" s="202">
        <f t="shared" si="12"/>
        <v>3</v>
      </c>
      <c r="L50" s="202" t="str">
        <f t="shared" si="13"/>
        <v/>
      </c>
      <c r="M50" s="202" t="str">
        <f t="shared" si="14"/>
        <v/>
      </c>
      <c r="N50" s="202" t="str">
        <f t="shared" si="15"/>
        <v/>
      </c>
      <c r="O50" s="287">
        <f t="shared" si="16"/>
        <v>3</v>
      </c>
      <c r="Q50" s="243" t="str">
        <f t="shared" si="17"/>
        <v/>
      </c>
      <c r="R50" s="288" t="str">
        <f t="shared" si="18"/>
        <v/>
      </c>
    </row>
    <row r="51" spans="1:18" x14ac:dyDescent="0.25">
      <c r="A51" s="10">
        <v>49</v>
      </c>
      <c r="B51" s="280" t="str">
        <f t="shared" si="9"/>
        <v>B.9</v>
      </c>
      <c r="C51" s="285" t="s">
        <v>91</v>
      </c>
      <c r="D51" s="10">
        <v>9</v>
      </c>
      <c r="G51" s="255" t="s">
        <v>154</v>
      </c>
      <c r="I51" s="287" t="str">
        <f t="shared" si="10"/>
        <v/>
      </c>
      <c r="J51" s="202">
        <f t="shared" si="11"/>
        <v>2</v>
      </c>
      <c r="K51" s="202" t="str">
        <f t="shared" si="12"/>
        <v/>
      </c>
      <c r="L51" s="202" t="str">
        <f t="shared" si="13"/>
        <v/>
      </c>
      <c r="M51" s="202" t="str">
        <f t="shared" si="14"/>
        <v/>
      </c>
      <c r="N51" s="202" t="str">
        <f t="shared" si="15"/>
        <v/>
      </c>
      <c r="O51" s="287">
        <f t="shared" si="16"/>
        <v>2</v>
      </c>
      <c r="Q51" s="243" t="str">
        <f t="shared" si="17"/>
        <v/>
      </c>
      <c r="R51" s="288" t="str">
        <f t="shared" si="18"/>
        <v>B.9</v>
      </c>
    </row>
    <row r="52" spans="1:18" x14ac:dyDescent="0.25">
      <c r="A52" s="10">
        <v>50</v>
      </c>
      <c r="B52" s="280" t="str">
        <f t="shared" si="9"/>
        <v>B.9.01</v>
      </c>
      <c r="C52" s="285" t="s">
        <v>91</v>
      </c>
      <c r="D52" s="10">
        <v>9</v>
      </c>
      <c r="E52" s="10">
        <v>1</v>
      </c>
      <c r="G52" s="255" t="s">
        <v>185</v>
      </c>
      <c r="H52" s="286">
        <v>1</v>
      </c>
      <c r="I52" s="287" t="str">
        <f t="shared" si="10"/>
        <v/>
      </c>
      <c r="J52" s="202" t="str">
        <f t="shared" si="11"/>
        <v/>
      </c>
      <c r="K52" s="202" t="str">
        <f t="shared" si="12"/>
        <v/>
      </c>
      <c r="L52" s="202" t="str">
        <f t="shared" si="13"/>
        <v/>
      </c>
      <c r="M52" s="202">
        <f t="shared" si="14"/>
        <v>5</v>
      </c>
      <c r="N52" s="202" t="str">
        <f t="shared" si="15"/>
        <v/>
      </c>
      <c r="O52" s="287">
        <f t="shared" si="16"/>
        <v>5</v>
      </c>
      <c r="Q52" s="243" t="str">
        <f t="shared" si="17"/>
        <v>01</v>
      </c>
      <c r="R52" s="288" t="str">
        <f t="shared" si="18"/>
        <v>B.9.01</v>
      </c>
    </row>
    <row r="53" spans="1:18" ht="60" x14ac:dyDescent="0.25">
      <c r="A53" s="10">
        <v>51</v>
      </c>
      <c r="B53" s="280" t="str">
        <f t="shared" si="9"/>
        <v/>
      </c>
      <c r="C53" s="285"/>
      <c r="F53" s="10" t="s">
        <v>122</v>
      </c>
      <c r="G53" s="255" t="s">
        <v>186</v>
      </c>
      <c r="I53" s="287" t="str">
        <f t="shared" si="10"/>
        <v/>
      </c>
      <c r="J53" s="202" t="str">
        <f t="shared" si="11"/>
        <v/>
      </c>
      <c r="K53" s="202">
        <f t="shared" si="12"/>
        <v>3</v>
      </c>
      <c r="L53" s="202" t="str">
        <f t="shared" si="13"/>
        <v/>
      </c>
      <c r="M53" s="202" t="str">
        <f t="shared" si="14"/>
        <v/>
      </c>
      <c r="N53" s="202" t="str">
        <f t="shared" si="15"/>
        <v/>
      </c>
      <c r="O53" s="287">
        <f t="shared" si="16"/>
        <v>3</v>
      </c>
      <c r="Q53" s="243" t="str">
        <f t="shared" si="17"/>
        <v/>
      </c>
      <c r="R53" s="288" t="str">
        <f t="shared" si="18"/>
        <v/>
      </c>
    </row>
    <row r="54" spans="1:18" x14ac:dyDescent="0.25">
      <c r="A54" s="10">
        <v>52</v>
      </c>
      <c r="B54" s="280" t="str">
        <f t="shared" si="9"/>
        <v>C</v>
      </c>
      <c r="C54" s="285" t="s">
        <v>92</v>
      </c>
      <c r="G54" s="255" t="s">
        <v>155</v>
      </c>
      <c r="I54" s="287">
        <f t="shared" si="10"/>
        <v>1</v>
      </c>
      <c r="J54" s="202" t="str">
        <f t="shared" si="11"/>
        <v/>
      </c>
      <c r="K54" s="202" t="str">
        <f t="shared" si="12"/>
        <v/>
      </c>
      <c r="L54" s="202" t="str">
        <f t="shared" si="13"/>
        <v/>
      </c>
      <c r="M54" s="202" t="str">
        <f t="shared" si="14"/>
        <v/>
      </c>
      <c r="N54" s="202" t="str">
        <f t="shared" si="15"/>
        <v/>
      </c>
      <c r="O54" s="287">
        <f t="shared" si="16"/>
        <v>1</v>
      </c>
      <c r="Q54" s="243" t="str">
        <f t="shared" si="17"/>
        <v/>
      </c>
      <c r="R54" s="288" t="str">
        <f t="shared" si="18"/>
        <v>C</v>
      </c>
    </row>
    <row r="55" spans="1:18" x14ac:dyDescent="0.25">
      <c r="A55" s="10">
        <v>53</v>
      </c>
      <c r="B55" s="280" t="str">
        <f t="shared" si="9"/>
        <v>C.1</v>
      </c>
      <c r="C55" s="285" t="s">
        <v>92</v>
      </c>
      <c r="D55" s="10">
        <v>1</v>
      </c>
      <c r="G55" s="255" t="s">
        <v>226</v>
      </c>
      <c r="I55" s="287" t="str">
        <f t="shared" si="10"/>
        <v/>
      </c>
      <c r="J55" s="202">
        <f t="shared" si="11"/>
        <v>2</v>
      </c>
      <c r="K55" s="202" t="str">
        <f t="shared" si="12"/>
        <v/>
      </c>
      <c r="L55" s="202" t="str">
        <f t="shared" si="13"/>
        <v/>
      </c>
      <c r="M55" s="202" t="str">
        <f t="shared" si="14"/>
        <v/>
      </c>
      <c r="N55" s="202" t="str">
        <f t="shared" si="15"/>
        <v/>
      </c>
      <c r="O55" s="287">
        <f t="shared" si="16"/>
        <v>2</v>
      </c>
      <c r="Q55" s="243" t="str">
        <f t="shared" si="17"/>
        <v/>
      </c>
      <c r="R55" s="288" t="str">
        <f t="shared" si="18"/>
        <v>C.1</v>
      </c>
    </row>
    <row r="56" spans="1:18" ht="30" x14ac:dyDescent="0.25">
      <c r="A56" s="10">
        <v>54</v>
      </c>
      <c r="B56" s="280" t="str">
        <f t="shared" si="9"/>
        <v>C.1.01</v>
      </c>
      <c r="C56" s="285" t="s">
        <v>92</v>
      </c>
      <c r="D56" s="10">
        <v>1</v>
      </c>
      <c r="E56" s="10">
        <v>1</v>
      </c>
      <c r="G56" s="255" t="s">
        <v>187</v>
      </c>
      <c r="H56" s="286">
        <v>1</v>
      </c>
      <c r="I56" s="287" t="str">
        <f t="shared" si="10"/>
        <v/>
      </c>
      <c r="J56" s="202" t="str">
        <f t="shared" si="11"/>
        <v/>
      </c>
      <c r="K56" s="202" t="str">
        <f t="shared" si="12"/>
        <v/>
      </c>
      <c r="L56" s="202" t="str">
        <f t="shared" si="13"/>
        <v/>
      </c>
      <c r="M56" s="202">
        <f t="shared" si="14"/>
        <v>5</v>
      </c>
      <c r="N56" s="202" t="str">
        <f t="shared" si="15"/>
        <v/>
      </c>
      <c r="O56" s="287">
        <f t="shared" si="16"/>
        <v>5</v>
      </c>
      <c r="Q56" s="243" t="str">
        <f t="shared" si="17"/>
        <v>01</v>
      </c>
      <c r="R56" s="288" t="str">
        <f t="shared" si="18"/>
        <v>C.1.01</v>
      </c>
    </row>
    <row r="57" spans="1:18" ht="75" x14ac:dyDescent="0.25">
      <c r="A57" s="10">
        <v>55</v>
      </c>
      <c r="B57" s="280" t="str">
        <f t="shared" si="9"/>
        <v/>
      </c>
      <c r="C57" s="285"/>
      <c r="F57" s="10" t="s">
        <v>122</v>
      </c>
      <c r="G57" s="255" t="s">
        <v>156</v>
      </c>
      <c r="I57" s="287" t="str">
        <f t="shared" si="10"/>
        <v/>
      </c>
      <c r="J57" s="202" t="str">
        <f t="shared" si="11"/>
        <v/>
      </c>
      <c r="K57" s="202">
        <f t="shared" si="12"/>
        <v>3</v>
      </c>
      <c r="L57" s="202" t="str">
        <f t="shared" si="13"/>
        <v/>
      </c>
      <c r="M57" s="202" t="str">
        <f t="shared" si="14"/>
        <v/>
      </c>
      <c r="N57" s="202" t="str">
        <f t="shared" si="15"/>
        <v/>
      </c>
      <c r="O57" s="287">
        <f t="shared" si="16"/>
        <v>3</v>
      </c>
      <c r="Q57" s="243" t="str">
        <f t="shared" si="17"/>
        <v/>
      </c>
      <c r="R57" s="288" t="str">
        <f t="shared" si="18"/>
        <v/>
      </c>
    </row>
    <row r="58" spans="1:18" x14ac:dyDescent="0.25">
      <c r="A58" s="10">
        <v>56</v>
      </c>
      <c r="B58" s="280" t="str">
        <f t="shared" si="9"/>
        <v>C.2</v>
      </c>
      <c r="C58" s="285" t="s">
        <v>92</v>
      </c>
      <c r="D58" s="10">
        <v>2</v>
      </c>
      <c r="G58" s="255" t="s">
        <v>131</v>
      </c>
      <c r="I58" s="287" t="str">
        <f t="shared" ref="I58" si="19">IF(AND(LEN(C58)=1,LEN(D58)=0),1,"")</f>
        <v/>
      </c>
      <c r="J58" s="202">
        <f t="shared" ref="J58" si="20">IF(AND(LEN(C58)=1,LEN(D58)=1,LEN(E58)=0,LEN(F58)=0),2,"")</f>
        <v>2</v>
      </c>
      <c r="K58" s="202" t="str">
        <f t="shared" ref="K58" si="21">IF(AND(LEN(C58)=0,LEN(E58)=0),3,"")</f>
        <v/>
      </c>
      <c r="L58" s="202" t="str">
        <f t="shared" ref="L58" si="22">IF(AND(LEN(C58)&gt;0,LEN(D58&gt;0),LEN(E58)&gt;0,LEN(F58)=0,H58="N/A"),4,"")</f>
        <v/>
      </c>
      <c r="M58" s="202" t="str">
        <f t="shared" ref="M58" si="23">IF(AND(LEN(C58)&gt;0,LEN(D58&gt;0),LEN(E58)&gt;0,LEN(F58)=0,H58&gt;0,H58&lt;6),5,"")</f>
        <v/>
      </c>
      <c r="N58" s="202" t="str">
        <f t="shared" ref="N58" si="24">IF(AND(LEN(C58)&gt;0,LEN(D58&gt;0),LEN(E58)&gt;0,LEN(F58)&gt;0,H58&gt;0,H58&lt;6),6,"")</f>
        <v/>
      </c>
      <c r="O58" s="287">
        <f t="shared" ref="O58" si="25">SUM(I58:N58)</f>
        <v>2</v>
      </c>
      <c r="Q58" s="243" t="str">
        <f t="shared" ref="Q58" si="26">IF(LEN(E58)&gt;0,TEXT(E58,"00"),"")</f>
        <v/>
      </c>
      <c r="R58" s="288" t="str">
        <f t="shared" ref="R58" si="27">IF(O58=1,C58,IF(O58=2,C58&amp;"."&amp;D58,IF(O58=3,"",IF(O58=4,C58&amp;"."&amp;D58&amp;"."&amp;Q58,IF(O58=5,C58&amp;"."&amp;D58&amp;"."&amp;Q58,IF(O58=6,C58&amp;"."&amp;D58&amp;"."&amp;Q58&amp;F58,""))))))</f>
        <v>C.2</v>
      </c>
    </row>
    <row r="59" spans="1:18" ht="30" x14ac:dyDescent="0.25">
      <c r="A59" s="10">
        <v>57</v>
      </c>
      <c r="B59" s="280" t="str">
        <f t="shared" si="9"/>
        <v>C.2.01</v>
      </c>
      <c r="C59" s="285" t="s">
        <v>92</v>
      </c>
      <c r="D59" s="10">
        <v>2</v>
      </c>
      <c r="E59" s="10">
        <v>1</v>
      </c>
      <c r="G59" s="255" t="s">
        <v>125</v>
      </c>
      <c r="H59" s="286">
        <v>1</v>
      </c>
      <c r="I59" s="287" t="str">
        <f t="shared" si="10"/>
        <v/>
      </c>
      <c r="J59" s="202" t="str">
        <f t="shared" si="11"/>
        <v/>
      </c>
      <c r="K59" s="202" t="str">
        <f t="shared" si="12"/>
        <v/>
      </c>
      <c r="L59" s="202" t="str">
        <f t="shared" si="13"/>
        <v/>
      </c>
      <c r="M59" s="202">
        <f t="shared" si="14"/>
        <v>5</v>
      </c>
      <c r="N59" s="202" t="str">
        <f t="shared" si="15"/>
        <v/>
      </c>
      <c r="O59" s="287">
        <f t="shared" si="16"/>
        <v>5</v>
      </c>
      <c r="Q59" s="243" t="str">
        <f t="shared" si="17"/>
        <v>01</v>
      </c>
      <c r="R59" s="288" t="str">
        <f t="shared" si="18"/>
        <v>C.2.01</v>
      </c>
    </row>
    <row r="60" spans="1:18" ht="45" x14ac:dyDescent="0.25">
      <c r="A60" s="10">
        <v>58</v>
      </c>
      <c r="B60" s="280" t="str">
        <f t="shared" si="9"/>
        <v/>
      </c>
      <c r="C60" s="285"/>
      <c r="F60" s="10" t="s">
        <v>122</v>
      </c>
      <c r="G60" s="255" t="s">
        <v>188</v>
      </c>
      <c r="I60" s="287" t="str">
        <f t="shared" si="10"/>
        <v/>
      </c>
      <c r="J60" s="202" t="str">
        <f t="shared" si="11"/>
        <v/>
      </c>
      <c r="K60" s="202">
        <f t="shared" si="12"/>
        <v>3</v>
      </c>
      <c r="L60" s="202" t="str">
        <f t="shared" si="13"/>
        <v/>
      </c>
      <c r="M60" s="202" t="str">
        <f t="shared" si="14"/>
        <v/>
      </c>
      <c r="N60" s="202" t="str">
        <f t="shared" si="15"/>
        <v/>
      </c>
      <c r="O60" s="287">
        <f t="shared" si="16"/>
        <v>3</v>
      </c>
      <c r="Q60" s="243" t="str">
        <f t="shared" si="17"/>
        <v/>
      </c>
      <c r="R60" s="288" t="str">
        <f t="shared" si="18"/>
        <v/>
      </c>
    </row>
    <row r="61" spans="1:18" x14ac:dyDescent="0.25">
      <c r="A61" s="10">
        <v>59</v>
      </c>
      <c r="B61" s="280" t="str">
        <f t="shared" si="9"/>
        <v>C.3</v>
      </c>
      <c r="C61" s="285" t="s">
        <v>92</v>
      </c>
      <c r="D61" s="10">
        <v>3</v>
      </c>
      <c r="G61" s="255" t="s">
        <v>227</v>
      </c>
      <c r="I61" s="287" t="str">
        <f t="shared" si="10"/>
        <v/>
      </c>
      <c r="J61" s="202">
        <f t="shared" si="11"/>
        <v>2</v>
      </c>
      <c r="K61" s="202" t="str">
        <f t="shared" si="12"/>
        <v/>
      </c>
      <c r="L61" s="202" t="str">
        <f t="shared" si="13"/>
        <v/>
      </c>
      <c r="M61" s="202" t="str">
        <f t="shared" si="14"/>
        <v/>
      </c>
      <c r="N61" s="202" t="str">
        <f t="shared" si="15"/>
        <v/>
      </c>
      <c r="O61" s="287">
        <f t="shared" si="16"/>
        <v>2</v>
      </c>
      <c r="Q61" s="243" t="str">
        <f t="shared" si="17"/>
        <v/>
      </c>
      <c r="R61" s="288" t="str">
        <f t="shared" si="18"/>
        <v>C.3</v>
      </c>
    </row>
    <row r="62" spans="1:18" x14ac:dyDescent="0.25">
      <c r="A62" s="10">
        <v>60</v>
      </c>
      <c r="B62" s="280" t="str">
        <f t="shared" si="9"/>
        <v>C.3.01</v>
      </c>
      <c r="C62" s="285" t="s">
        <v>92</v>
      </c>
      <c r="D62" s="10">
        <v>3</v>
      </c>
      <c r="E62" s="10">
        <v>1</v>
      </c>
      <c r="G62" s="255" t="s">
        <v>221</v>
      </c>
      <c r="H62" s="286">
        <v>1</v>
      </c>
      <c r="I62" s="287" t="str">
        <f t="shared" si="10"/>
        <v/>
      </c>
      <c r="J62" s="202" t="str">
        <f t="shared" si="11"/>
        <v/>
      </c>
      <c r="K62" s="202" t="str">
        <f t="shared" si="12"/>
        <v/>
      </c>
      <c r="L62" s="202" t="str">
        <f t="shared" si="13"/>
        <v/>
      </c>
      <c r="M62" s="202">
        <f t="shared" si="14"/>
        <v>5</v>
      </c>
      <c r="N62" s="202" t="str">
        <f t="shared" si="15"/>
        <v/>
      </c>
      <c r="O62" s="287">
        <f t="shared" si="16"/>
        <v>5</v>
      </c>
      <c r="Q62" s="243" t="str">
        <f t="shared" si="17"/>
        <v>01</v>
      </c>
      <c r="R62" s="288" t="str">
        <f t="shared" si="18"/>
        <v>C.3.01</v>
      </c>
    </row>
    <row r="63" spans="1:18" ht="60" x14ac:dyDescent="0.25">
      <c r="A63" s="10">
        <v>61</v>
      </c>
      <c r="B63" s="280" t="str">
        <f t="shared" si="9"/>
        <v/>
      </c>
      <c r="C63" s="285"/>
      <c r="F63" s="10" t="s">
        <v>122</v>
      </c>
      <c r="G63" s="255" t="s">
        <v>189</v>
      </c>
      <c r="I63" s="287" t="str">
        <f t="shared" si="10"/>
        <v/>
      </c>
      <c r="J63" s="202" t="str">
        <f t="shared" si="11"/>
        <v/>
      </c>
      <c r="K63" s="202">
        <f t="shared" si="12"/>
        <v>3</v>
      </c>
      <c r="L63" s="202" t="str">
        <f t="shared" si="13"/>
        <v/>
      </c>
      <c r="M63" s="202" t="str">
        <f t="shared" si="14"/>
        <v/>
      </c>
      <c r="N63" s="202" t="str">
        <f t="shared" si="15"/>
        <v/>
      </c>
      <c r="O63" s="287">
        <f t="shared" si="16"/>
        <v>3</v>
      </c>
      <c r="Q63" s="243" t="str">
        <f t="shared" si="17"/>
        <v/>
      </c>
      <c r="R63" s="288" t="str">
        <f t="shared" si="18"/>
        <v/>
      </c>
    </row>
    <row r="64" spans="1:18" x14ac:dyDescent="0.25">
      <c r="A64" s="10">
        <v>62</v>
      </c>
      <c r="B64" s="280" t="str">
        <f t="shared" si="9"/>
        <v>C.4</v>
      </c>
      <c r="C64" s="285" t="s">
        <v>92</v>
      </c>
      <c r="D64" s="10">
        <v>4</v>
      </c>
      <c r="G64" s="255" t="s">
        <v>228</v>
      </c>
      <c r="I64" s="287" t="str">
        <f t="shared" si="10"/>
        <v/>
      </c>
      <c r="J64" s="202">
        <f t="shared" si="11"/>
        <v>2</v>
      </c>
      <c r="K64" s="202" t="str">
        <f t="shared" si="12"/>
        <v/>
      </c>
      <c r="L64" s="202" t="str">
        <f t="shared" si="13"/>
        <v/>
      </c>
      <c r="M64" s="202" t="str">
        <f t="shared" si="14"/>
        <v/>
      </c>
      <c r="N64" s="202" t="str">
        <f t="shared" si="15"/>
        <v/>
      </c>
      <c r="O64" s="287">
        <f t="shared" si="16"/>
        <v>2</v>
      </c>
      <c r="Q64" s="243" t="str">
        <f t="shared" si="17"/>
        <v/>
      </c>
      <c r="R64" s="288" t="str">
        <f t="shared" si="18"/>
        <v>C.4</v>
      </c>
    </row>
    <row r="65" spans="1:18" x14ac:dyDescent="0.25">
      <c r="A65" s="10">
        <v>63</v>
      </c>
      <c r="B65" s="280" t="str">
        <f t="shared" si="9"/>
        <v>C.4.01</v>
      </c>
      <c r="C65" s="285" t="s">
        <v>92</v>
      </c>
      <c r="D65" s="10">
        <v>4</v>
      </c>
      <c r="E65" s="10">
        <v>1</v>
      </c>
      <c r="G65" s="255" t="s">
        <v>190</v>
      </c>
      <c r="H65" s="286">
        <v>1</v>
      </c>
      <c r="I65" s="287" t="str">
        <f t="shared" si="10"/>
        <v/>
      </c>
      <c r="J65" s="202" t="str">
        <f t="shared" si="11"/>
        <v/>
      </c>
      <c r="K65" s="202" t="str">
        <f t="shared" si="12"/>
        <v/>
      </c>
      <c r="L65" s="202" t="str">
        <f t="shared" si="13"/>
        <v/>
      </c>
      <c r="M65" s="202">
        <f t="shared" si="14"/>
        <v>5</v>
      </c>
      <c r="N65" s="202" t="str">
        <f t="shared" si="15"/>
        <v/>
      </c>
      <c r="O65" s="287">
        <f t="shared" si="16"/>
        <v>5</v>
      </c>
      <c r="Q65" s="243" t="str">
        <f t="shared" si="17"/>
        <v>01</v>
      </c>
      <c r="R65" s="288" t="str">
        <f t="shared" si="18"/>
        <v>C.4.01</v>
      </c>
    </row>
    <row r="66" spans="1:18" ht="60" x14ac:dyDescent="0.25">
      <c r="A66" s="10">
        <v>64</v>
      </c>
      <c r="B66" s="280" t="str">
        <f t="shared" si="9"/>
        <v/>
      </c>
      <c r="C66" s="285"/>
      <c r="F66" s="10" t="s">
        <v>122</v>
      </c>
      <c r="G66" s="255" t="s">
        <v>126</v>
      </c>
      <c r="I66" s="287" t="str">
        <f t="shared" si="10"/>
        <v/>
      </c>
      <c r="J66" s="202" t="str">
        <f t="shared" si="11"/>
        <v/>
      </c>
      <c r="K66" s="202">
        <f t="shared" si="12"/>
        <v>3</v>
      </c>
      <c r="L66" s="202" t="str">
        <f t="shared" si="13"/>
        <v/>
      </c>
      <c r="M66" s="202" t="str">
        <f t="shared" si="14"/>
        <v/>
      </c>
      <c r="N66" s="202" t="str">
        <f t="shared" si="15"/>
        <v/>
      </c>
      <c r="O66" s="287">
        <f t="shared" si="16"/>
        <v>3</v>
      </c>
      <c r="Q66" s="243" t="str">
        <f t="shared" si="17"/>
        <v/>
      </c>
      <c r="R66" s="288" t="str">
        <f t="shared" si="18"/>
        <v/>
      </c>
    </row>
    <row r="67" spans="1:18" x14ac:dyDescent="0.25">
      <c r="A67" s="10">
        <v>65</v>
      </c>
      <c r="B67" s="280" t="str">
        <f t="shared" si="9"/>
        <v>C.5</v>
      </c>
      <c r="C67" s="285" t="s">
        <v>92</v>
      </c>
      <c r="D67" s="10">
        <v>5</v>
      </c>
      <c r="G67" s="255" t="s">
        <v>229</v>
      </c>
      <c r="I67" s="287" t="str">
        <f t="shared" si="10"/>
        <v/>
      </c>
      <c r="J67" s="202">
        <f t="shared" si="11"/>
        <v>2</v>
      </c>
      <c r="K67" s="202" t="str">
        <f t="shared" si="12"/>
        <v/>
      </c>
      <c r="L67" s="202" t="str">
        <f t="shared" si="13"/>
        <v/>
      </c>
      <c r="M67" s="202" t="str">
        <f t="shared" si="14"/>
        <v/>
      </c>
      <c r="N67" s="202" t="str">
        <f t="shared" si="15"/>
        <v/>
      </c>
      <c r="O67" s="287">
        <f t="shared" si="16"/>
        <v>2</v>
      </c>
      <c r="Q67" s="243" t="str">
        <f t="shared" si="17"/>
        <v/>
      </c>
      <c r="R67" s="288" t="str">
        <f t="shared" si="18"/>
        <v>C.5</v>
      </c>
    </row>
    <row r="68" spans="1:18" ht="30" x14ac:dyDescent="0.25">
      <c r="A68" s="10">
        <v>66</v>
      </c>
      <c r="B68" s="280" t="str">
        <f t="shared" si="9"/>
        <v>C.5.01</v>
      </c>
      <c r="C68" s="285" t="s">
        <v>92</v>
      </c>
      <c r="D68" s="10">
        <v>5</v>
      </c>
      <c r="E68" s="10">
        <v>1</v>
      </c>
      <c r="G68" s="255" t="s">
        <v>191</v>
      </c>
      <c r="H68" s="286">
        <v>1</v>
      </c>
      <c r="I68" s="287" t="str">
        <f t="shared" si="10"/>
        <v/>
      </c>
      <c r="J68" s="202" t="str">
        <f t="shared" si="11"/>
        <v/>
      </c>
      <c r="K68" s="202" t="str">
        <f t="shared" si="12"/>
        <v/>
      </c>
      <c r="L68" s="202" t="str">
        <f t="shared" si="13"/>
        <v/>
      </c>
      <c r="M68" s="202">
        <f t="shared" si="14"/>
        <v>5</v>
      </c>
      <c r="N68" s="202" t="str">
        <f t="shared" si="15"/>
        <v/>
      </c>
      <c r="O68" s="287">
        <f t="shared" si="16"/>
        <v>5</v>
      </c>
      <c r="Q68" s="243" t="str">
        <f t="shared" si="17"/>
        <v>01</v>
      </c>
      <c r="R68" s="288" t="str">
        <f t="shared" si="18"/>
        <v>C.5.01</v>
      </c>
    </row>
    <row r="69" spans="1:18" ht="75" x14ac:dyDescent="0.25">
      <c r="A69" s="10">
        <v>67</v>
      </c>
      <c r="B69" s="280" t="str">
        <f t="shared" ref="B69:B72" si="28">R69</f>
        <v/>
      </c>
      <c r="C69" s="285"/>
      <c r="F69" s="10" t="s">
        <v>122</v>
      </c>
      <c r="G69" s="255" t="s">
        <v>192</v>
      </c>
      <c r="I69" s="287" t="str">
        <f t="shared" ref="I69:I72" si="29">IF(AND(LEN(C69)=1,LEN(D69)=0),1,"")</f>
        <v/>
      </c>
      <c r="J69" s="202" t="str">
        <f t="shared" ref="J69:J72" si="30">IF(AND(LEN(C69)=1,LEN(D69)=1,LEN(E69)=0,LEN(F69)=0),2,"")</f>
        <v/>
      </c>
      <c r="K69" s="202">
        <f t="shared" ref="K69:K72" si="31">IF(AND(LEN(C69)=0,LEN(E69)=0),3,"")</f>
        <v>3</v>
      </c>
      <c r="L69" s="202" t="str">
        <f t="shared" ref="L69:L72" si="32">IF(AND(LEN(C69)&gt;0,LEN(D69&gt;0),LEN(E69)&gt;0,LEN(F69)=0,H69="N/A"),4,"")</f>
        <v/>
      </c>
      <c r="M69" s="202" t="str">
        <f t="shared" ref="M69:M72" si="33">IF(AND(LEN(C69)&gt;0,LEN(D69&gt;0),LEN(E69)&gt;0,LEN(F69)=0,H69&gt;0,H69&lt;6),5,"")</f>
        <v/>
      </c>
      <c r="N69" s="202" t="str">
        <f t="shared" ref="N69:N72" si="34">IF(AND(LEN(C69)&gt;0,LEN(D69&gt;0),LEN(E69)&gt;0,LEN(F69)&gt;0,H69&gt;0,H69&lt;6),6,"")</f>
        <v/>
      </c>
      <c r="O69" s="287">
        <f t="shared" ref="O69:O72" si="35">SUM(I69:N69)</f>
        <v>3</v>
      </c>
      <c r="Q69" s="243" t="str">
        <f t="shared" ref="Q69:Q72" si="36">IF(LEN(E69)&gt;0,TEXT(E69,"00"),"")</f>
        <v/>
      </c>
      <c r="R69" s="288" t="str">
        <f t="shared" ref="R69:R72" si="37">IF(O69=1,C69,IF(O69=2,C69&amp;"."&amp;D69,IF(O69=3,"",IF(O69=4,C69&amp;"."&amp;D69&amp;"."&amp;Q69,IF(O69=5,C69&amp;"."&amp;D69&amp;"."&amp;Q69,IF(O69=6,C69&amp;"."&amp;D69&amp;"."&amp;Q69&amp;F69,""))))))</f>
        <v/>
      </c>
    </row>
    <row r="70" spans="1:18" x14ac:dyDescent="0.25">
      <c r="A70" s="10">
        <v>68</v>
      </c>
      <c r="B70" s="280" t="str">
        <f t="shared" si="28"/>
        <v>C.6</v>
      </c>
      <c r="C70" s="285" t="s">
        <v>92</v>
      </c>
      <c r="D70" s="10">
        <v>6</v>
      </c>
      <c r="G70" s="255" t="s">
        <v>230</v>
      </c>
      <c r="I70" s="287" t="str">
        <f t="shared" si="29"/>
        <v/>
      </c>
      <c r="J70" s="202">
        <f t="shared" si="30"/>
        <v>2</v>
      </c>
      <c r="K70" s="202" t="str">
        <f t="shared" si="31"/>
        <v/>
      </c>
      <c r="L70" s="202" t="str">
        <f t="shared" si="32"/>
        <v/>
      </c>
      <c r="M70" s="202" t="str">
        <f t="shared" si="33"/>
        <v/>
      </c>
      <c r="N70" s="202" t="str">
        <f t="shared" si="34"/>
        <v/>
      </c>
      <c r="O70" s="287">
        <f t="shared" si="35"/>
        <v>2</v>
      </c>
      <c r="Q70" s="243" t="str">
        <f t="shared" si="36"/>
        <v/>
      </c>
      <c r="R70" s="288" t="str">
        <f t="shared" si="37"/>
        <v>C.6</v>
      </c>
    </row>
    <row r="71" spans="1:18" ht="30" x14ac:dyDescent="0.25">
      <c r="A71" s="10">
        <v>69</v>
      </c>
      <c r="B71" s="280" t="str">
        <f t="shared" si="28"/>
        <v>C.6.01</v>
      </c>
      <c r="C71" s="285" t="s">
        <v>92</v>
      </c>
      <c r="D71" s="10">
        <v>6</v>
      </c>
      <c r="E71" s="10">
        <v>1</v>
      </c>
      <c r="G71" s="255" t="s">
        <v>193</v>
      </c>
      <c r="H71" s="286">
        <v>1</v>
      </c>
      <c r="I71" s="287" t="str">
        <f t="shared" si="29"/>
        <v/>
      </c>
      <c r="J71" s="202" t="str">
        <f t="shared" si="30"/>
        <v/>
      </c>
      <c r="K71" s="202" t="str">
        <f t="shared" si="31"/>
        <v/>
      </c>
      <c r="L71" s="202" t="str">
        <f t="shared" si="32"/>
        <v/>
      </c>
      <c r="M71" s="202">
        <f t="shared" si="33"/>
        <v>5</v>
      </c>
      <c r="N71" s="202" t="str">
        <f t="shared" si="34"/>
        <v/>
      </c>
      <c r="O71" s="287">
        <f t="shared" si="35"/>
        <v>5</v>
      </c>
      <c r="Q71" s="243" t="str">
        <f t="shared" si="36"/>
        <v>01</v>
      </c>
      <c r="R71" s="288" t="str">
        <f t="shared" si="37"/>
        <v>C.6.01</v>
      </c>
    </row>
    <row r="72" spans="1:18" ht="105" x14ac:dyDescent="0.25">
      <c r="A72" s="10">
        <v>70</v>
      </c>
      <c r="B72" s="280" t="str">
        <f t="shared" si="28"/>
        <v/>
      </c>
      <c r="C72" s="285"/>
      <c r="F72" s="10" t="s">
        <v>122</v>
      </c>
      <c r="G72" s="255" t="s">
        <v>222</v>
      </c>
      <c r="I72" s="287" t="str">
        <f t="shared" si="29"/>
        <v/>
      </c>
      <c r="J72" s="202" t="str">
        <f t="shared" si="30"/>
        <v/>
      </c>
      <c r="K72" s="202">
        <f t="shared" si="31"/>
        <v>3</v>
      </c>
      <c r="L72" s="202" t="str">
        <f t="shared" si="32"/>
        <v/>
      </c>
      <c r="M72" s="202" t="str">
        <f t="shared" si="33"/>
        <v/>
      </c>
      <c r="N72" s="202" t="str">
        <f t="shared" si="34"/>
        <v/>
      </c>
      <c r="O72" s="287">
        <f t="shared" si="35"/>
        <v>3</v>
      </c>
      <c r="Q72" s="243" t="str">
        <f t="shared" si="36"/>
        <v/>
      </c>
      <c r="R72" s="288" t="str">
        <f t="shared" si="37"/>
        <v/>
      </c>
    </row>
  </sheetData>
  <sheetProtection algorithmName="SHA-512" hashValue="A5K4+T17Um2bd5AJ0cwRapwWI6y0ldwKVNNyOEBSSH3GQB3UgVeBK3rGunyvt5Y6AM4HrO6rdRE4oxHk+EKYLg==" saltValue="Nm/GN6fK82ikvgtoBRXzNA==" spinCount="100000" sheet="1" objects="1" scenarios="1"/>
  <mergeCells count="2">
    <mergeCell ref="A1:G1"/>
    <mergeCell ref="W1:X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theme="0" tint="-0.499984740745262"/>
    <pageSetUpPr autoPageBreaks="0" fitToPage="1"/>
  </sheetPr>
  <dimension ref="B2:P79"/>
  <sheetViews>
    <sheetView showGridLines="0" showRowColHeaders="0" zoomScaleNormal="100" workbookViewId="0">
      <selection activeCell="D2" sqref="D2:L5"/>
    </sheetView>
  </sheetViews>
  <sheetFormatPr defaultColWidth="9.140625" defaultRowHeight="15" x14ac:dyDescent="0.25"/>
  <cols>
    <col min="1" max="14" width="9.140625" style="13"/>
    <col min="15" max="16" width="3.5703125" style="13" customWidth="1"/>
    <col min="17" max="16384" width="9.140625" style="13"/>
  </cols>
  <sheetData>
    <row r="2" spans="2:16" ht="15" customHeight="1" x14ac:dyDescent="0.25">
      <c r="D2" s="298" t="str">
        <f>Tool_Name</f>
        <v>Penetration Testing Management
Maturity Assessment Tool</v>
      </c>
      <c r="E2" s="298"/>
      <c r="F2" s="298"/>
      <c r="G2" s="298"/>
      <c r="H2" s="298"/>
      <c r="I2" s="298"/>
      <c r="J2" s="298"/>
      <c r="K2" s="298"/>
      <c r="L2" s="298"/>
      <c r="M2" s="112"/>
      <c r="N2" s="112"/>
      <c r="O2" s="112"/>
      <c r="P2" s="112"/>
    </row>
    <row r="3" spans="2:16" ht="15" customHeight="1" x14ac:dyDescent="0.25">
      <c r="D3" s="298"/>
      <c r="E3" s="298"/>
      <c r="F3" s="298"/>
      <c r="G3" s="298"/>
      <c r="H3" s="298"/>
      <c r="I3" s="298"/>
      <c r="J3" s="298"/>
      <c r="K3" s="298"/>
      <c r="L3" s="298"/>
      <c r="M3" s="112"/>
      <c r="N3" s="112"/>
      <c r="O3" s="112"/>
      <c r="P3" s="112"/>
    </row>
    <row r="4" spans="2:16" ht="15" customHeight="1" x14ac:dyDescent="0.25">
      <c r="D4" s="298"/>
      <c r="E4" s="298"/>
      <c r="F4" s="298"/>
      <c r="G4" s="298"/>
      <c r="H4" s="298"/>
      <c r="I4" s="298"/>
      <c r="J4" s="298"/>
      <c r="K4" s="298"/>
      <c r="L4" s="298"/>
      <c r="M4" s="112"/>
      <c r="N4" s="112"/>
      <c r="O4" s="112"/>
      <c r="P4" s="112"/>
    </row>
    <row r="5" spans="2:16" ht="15" customHeight="1" x14ac:dyDescent="0.25">
      <c r="D5" s="298"/>
      <c r="E5" s="298"/>
      <c r="F5" s="298"/>
      <c r="G5" s="298"/>
      <c r="H5" s="298"/>
      <c r="I5" s="298"/>
      <c r="J5" s="298"/>
      <c r="K5" s="298"/>
      <c r="L5" s="298"/>
      <c r="M5" s="112"/>
      <c r="N5" s="112"/>
      <c r="O5" s="112"/>
      <c r="P5" s="112"/>
    </row>
    <row r="8" spans="2:16" ht="19.5" x14ac:dyDescent="0.3">
      <c r="B8" s="14" t="s">
        <v>7</v>
      </c>
      <c r="C8" s="12"/>
    </row>
    <row r="9" spans="2:16" x14ac:dyDescent="0.25">
      <c r="B9" s="10"/>
    </row>
    <row r="10" spans="2:16" ht="17.25" x14ac:dyDescent="0.3">
      <c r="B10" s="11" t="s">
        <v>76</v>
      </c>
    </row>
    <row r="11" spans="2:16" ht="6.75" customHeight="1" x14ac:dyDescent="0.25"/>
    <row r="12" spans="2:16" ht="15" customHeight="1" x14ac:dyDescent="0.25">
      <c r="B12" s="297" t="s">
        <v>202</v>
      </c>
      <c r="C12" s="297"/>
      <c r="D12" s="297"/>
      <c r="E12" s="297"/>
      <c r="F12" s="297"/>
      <c r="G12" s="297"/>
      <c r="H12" s="297"/>
      <c r="I12" s="297"/>
      <c r="J12" s="297"/>
      <c r="K12" s="297"/>
      <c r="L12" s="297"/>
    </row>
    <row r="13" spans="2:16" x14ac:dyDescent="0.25">
      <c r="B13" s="297"/>
      <c r="C13" s="297"/>
      <c r="D13" s="297"/>
      <c r="E13" s="297"/>
      <c r="F13" s="297"/>
      <c r="G13" s="297"/>
      <c r="H13" s="297"/>
      <c r="I13" s="297"/>
      <c r="J13" s="297"/>
      <c r="K13" s="297"/>
      <c r="L13" s="297"/>
    </row>
    <row r="15" spans="2:16" ht="15" customHeight="1" x14ac:dyDescent="0.25">
      <c r="B15" s="297" t="s">
        <v>208</v>
      </c>
      <c r="C15" s="297"/>
      <c r="D15" s="297"/>
      <c r="E15" s="297"/>
      <c r="F15" s="297"/>
      <c r="G15" s="297"/>
      <c r="H15" s="297"/>
      <c r="I15" s="297"/>
      <c r="J15" s="297"/>
      <c r="K15" s="297"/>
      <c r="L15" s="297"/>
    </row>
    <row r="16" spans="2:16" x14ac:dyDescent="0.25">
      <c r="B16" s="297"/>
      <c r="C16" s="297"/>
      <c r="D16" s="297"/>
      <c r="E16" s="297"/>
      <c r="F16" s="297"/>
      <c r="G16" s="297"/>
      <c r="H16" s="297"/>
      <c r="I16" s="297"/>
      <c r="J16" s="297"/>
      <c r="K16" s="297"/>
      <c r="L16" s="297"/>
    </row>
    <row r="17" spans="2:12" x14ac:dyDescent="0.25">
      <c r="B17" s="297"/>
      <c r="C17" s="297"/>
      <c r="D17" s="297"/>
      <c r="E17" s="297"/>
      <c r="F17" s="297"/>
      <c r="G17" s="297"/>
      <c r="H17" s="297"/>
      <c r="I17" s="297"/>
      <c r="J17" s="297"/>
      <c r="K17" s="297"/>
      <c r="L17" s="297"/>
    </row>
    <row r="18" spans="2:12" x14ac:dyDescent="0.25">
      <c r="B18" s="88"/>
      <c r="C18" s="88"/>
      <c r="D18" s="88"/>
      <c r="E18" s="88"/>
      <c r="F18" s="88"/>
      <c r="G18" s="88"/>
      <c r="H18" s="88"/>
      <c r="I18" s="88"/>
      <c r="J18" s="88"/>
      <c r="K18" s="88"/>
      <c r="L18" s="88"/>
    </row>
    <row r="34" spans="2:12" ht="15" customHeight="1" x14ac:dyDescent="0.25">
      <c r="B34" s="297" t="s">
        <v>203</v>
      </c>
      <c r="C34" s="297"/>
      <c r="D34" s="297"/>
      <c r="E34" s="297"/>
      <c r="F34" s="297"/>
      <c r="G34" s="297"/>
      <c r="H34" s="297"/>
      <c r="I34" s="297"/>
      <c r="J34" s="297"/>
      <c r="K34" s="297"/>
      <c r="L34" s="297"/>
    </row>
    <row r="35" spans="2:12" x14ac:dyDescent="0.25">
      <c r="B35" s="297"/>
      <c r="C35" s="297"/>
      <c r="D35" s="297"/>
      <c r="E35" s="297"/>
      <c r="F35" s="297"/>
      <c r="G35" s="297"/>
      <c r="H35" s="297"/>
      <c r="I35" s="297"/>
      <c r="J35" s="297"/>
      <c r="K35" s="297"/>
      <c r="L35" s="297"/>
    </row>
    <row r="36" spans="2:12" ht="39" customHeight="1" x14ac:dyDescent="0.25">
      <c r="B36" s="297"/>
      <c r="C36" s="297"/>
      <c r="D36" s="297"/>
      <c r="E36" s="297"/>
      <c r="F36" s="297"/>
      <c r="G36" s="297"/>
      <c r="H36" s="297"/>
      <c r="I36" s="297"/>
      <c r="J36" s="297"/>
      <c r="K36" s="297"/>
      <c r="L36" s="297"/>
    </row>
    <row r="37" spans="2:12" x14ac:dyDescent="0.25">
      <c r="B37" s="88"/>
      <c r="C37" s="88"/>
      <c r="D37" s="88"/>
      <c r="E37" s="88"/>
      <c r="F37" s="88"/>
      <c r="G37" s="88"/>
      <c r="H37" s="88"/>
      <c r="I37" s="88"/>
      <c r="J37" s="88"/>
      <c r="K37" s="88"/>
      <c r="L37" s="88"/>
    </row>
    <row r="38" spans="2:12" ht="15" customHeight="1" x14ac:dyDescent="0.25">
      <c r="B38" s="297" t="s">
        <v>88</v>
      </c>
      <c r="C38" s="297"/>
      <c r="D38" s="297"/>
      <c r="E38" s="297"/>
      <c r="F38" s="297"/>
      <c r="G38" s="297"/>
      <c r="H38" s="297"/>
      <c r="I38" s="297"/>
      <c r="J38" s="297"/>
      <c r="K38" s="297"/>
      <c r="L38" s="297"/>
    </row>
    <row r="39" spans="2:12" x14ac:dyDescent="0.25">
      <c r="B39" s="297"/>
      <c r="C39" s="297"/>
      <c r="D39" s="297"/>
      <c r="E39" s="297"/>
      <c r="F39" s="297"/>
      <c r="G39" s="297"/>
      <c r="H39" s="297"/>
      <c r="I39" s="297"/>
      <c r="J39" s="297"/>
      <c r="K39" s="297"/>
      <c r="L39" s="297"/>
    </row>
    <row r="40" spans="2:12" x14ac:dyDescent="0.25">
      <c r="B40" s="297"/>
      <c r="C40" s="297"/>
      <c r="D40" s="297"/>
      <c r="E40" s="297"/>
      <c r="F40" s="297"/>
      <c r="G40" s="297"/>
      <c r="H40" s="297"/>
      <c r="I40" s="297"/>
      <c r="J40" s="297"/>
      <c r="K40" s="297"/>
      <c r="L40" s="297"/>
    </row>
    <row r="41" spans="2:12" x14ac:dyDescent="0.25">
      <c r="B41" s="297"/>
      <c r="C41" s="297"/>
      <c r="D41" s="297"/>
      <c r="E41" s="297"/>
      <c r="F41" s="297"/>
      <c r="G41" s="297"/>
      <c r="H41" s="297"/>
      <c r="I41" s="297"/>
      <c r="J41" s="297"/>
      <c r="K41" s="297"/>
      <c r="L41" s="297"/>
    </row>
    <row r="42" spans="2:12" ht="15" customHeight="1" x14ac:dyDescent="0.25">
      <c r="B42" s="297" t="s">
        <v>204</v>
      </c>
      <c r="C42" s="297"/>
      <c r="D42" s="297"/>
      <c r="E42" s="297"/>
      <c r="F42" s="297"/>
      <c r="G42" s="297"/>
      <c r="H42" s="297"/>
      <c r="I42" s="297"/>
      <c r="J42" s="297"/>
      <c r="K42" s="297"/>
      <c r="L42" s="297"/>
    </row>
    <row r="43" spans="2:12" x14ac:dyDescent="0.25">
      <c r="B43" s="297"/>
      <c r="C43" s="297"/>
      <c r="D43" s="297"/>
      <c r="E43" s="297"/>
      <c r="F43" s="297"/>
      <c r="G43" s="297"/>
      <c r="H43" s="297"/>
      <c r="I43" s="297"/>
      <c r="J43" s="297"/>
      <c r="K43" s="297"/>
      <c r="L43" s="297"/>
    </row>
    <row r="44" spans="2:12" x14ac:dyDescent="0.25">
      <c r="B44" s="297"/>
      <c r="C44" s="297"/>
      <c r="D44" s="297"/>
      <c r="E44" s="297"/>
      <c r="F44" s="297"/>
      <c r="G44" s="297"/>
      <c r="H44" s="297"/>
      <c r="I44" s="297"/>
      <c r="J44" s="297"/>
      <c r="K44" s="297"/>
      <c r="L44" s="297"/>
    </row>
    <row r="45" spans="2:12" x14ac:dyDescent="0.25">
      <c r="B45" s="297"/>
      <c r="C45" s="297"/>
      <c r="D45" s="297"/>
      <c r="E45" s="297"/>
      <c r="F45" s="297"/>
      <c r="G45" s="297"/>
      <c r="H45" s="297"/>
      <c r="I45" s="297"/>
      <c r="J45" s="297"/>
      <c r="K45" s="297"/>
      <c r="L45" s="297"/>
    </row>
    <row r="47" spans="2:12" ht="17.25" x14ac:dyDescent="0.3">
      <c r="B47" s="11" t="s">
        <v>77</v>
      </c>
    </row>
    <row r="48" spans="2:12" ht="6.75" customHeight="1" x14ac:dyDescent="0.25"/>
    <row r="49" spans="2:12" ht="15" customHeight="1" x14ac:dyDescent="0.25">
      <c r="B49" s="299" t="s">
        <v>209</v>
      </c>
      <c r="C49" s="299"/>
      <c r="D49" s="299"/>
      <c r="E49" s="299"/>
      <c r="F49" s="299"/>
      <c r="G49" s="299"/>
      <c r="H49" s="299"/>
      <c r="I49" s="299"/>
      <c r="J49" s="299"/>
      <c r="K49" s="299"/>
      <c r="L49" s="299"/>
    </row>
    <row r="50" spans="2:12" ht="34.5" customHeight="1" x14ac:dyDescent="0.25">
      <c r="B50" s="299"/>
      <c r="C50" s="299"/>
      <c r="D50" s="299"/>
      <c r="E50" s="299"/>
      <c r="F50" s="299"/>
      <c r="G50" s="299"/>
      <c r="H50" s="299"/>
      <c r="I50" s="299"/>
      <c r="J50" s="299"/>
      <c r="K50" s="299"/>
      <c r="L50" s="299"/>
    </row>
    <row r="52" spans="2:12" ht="15" customHeight="1" x14ac:dyDescent="0.25">
      <c r="B52" s="299" t="s">
        <v>89</v>
      </c>
      <c r="C52" s="299"/>
      <c r="D52" s="299"/>
      <c r="E52" s="299"/>
      <c r="F52" s="299"/>
      <c r="G52" s="299"/>
      <c r="H52" s="299"/>
      <c r="I52" s="299"/>
      <c r="J52" s="299"/>
      <c r="K52" s="299"/>
      <c r="L52" s="299"/>
    </row>
    <row r="53" spans="2:12" x14ac:dyDescent="0.25">
      <c r="B53" s="299"/>
      <c r="C53" s="299"/>
      <c r="D53" s="299"/>
      <c r="E53" s="299"/>
      <c r="F53" s="299"/>
      <c r="G53" s="299"/>
      <c r="H53" s="299"/>
      <c r="I53" s="299"/>
      <c r="J53" s="299"/>
      <c r="K53" s="299"/>
      <c r="L53" s="299"/>
    </row>
    <row r="54" spans="2:12" x14ac:dyDescent="0.25">
      <c r="B54" s="299"/>
      <c r="C54" s="299"/>
      <c r="D54" s="299"/>
      <c r="E54" s="299"/>
      <c r="F54" s="299"/>
      <c r="G54" s="299"/>
      <c r="H54" s="299"/>
      <c r="I54" s="299"/>
      <c r="J54" s="299"/>
      <c r="K54" s="299"/>
      <c r="L54" s="299"/>
    </row>
    <row r="55" spans="2:12" ht="21" customHeight="1" x14ac:dyDescent="0.25">
      <c r="B55" s="299"/>
      <c r="C55" s="299"/>
      <c r="D55" s="299"/>
      <c r="E55" s="299"/>
      <c r="F55" s="299"/>
      <c r="G55" s="299"/>
      <c r="H55" s="299"/>
      <c r="I55" s="299"/>
      <c r="J55" s="299"/>
      <c r="K55" s="299"/>
      <c r="L55" s="299"/>
    </row>
    <row r="56" spans="2:12" ht="15" customHeight="1" x14ac:dyDescent="0.25">
      <c r="B56" s="297" t="s">
        <v>98</v>
      </c>
      <c r="C56" s="297"/>
      <c r="D56" s="297"/>
      <c r="E56" s="297"/>
      <c r="F56" s="297"/>
      <c r="G56" s="297"/>
      <c r="H56" s="297"/>
      <c r="I56" s="297"/>
      <c r="J56" s="297"/>
      <c r="K56" s="297"/>
      <c r="L56" s="297"/>
    </row>
    <row r="57" spans="2:12" x14ac:dyDescent="0.25">
      <c r="B57" s="297"/>
      <c r="C57" s="297"/>
      <c r="D57" s="297"/>
      <c r="E57" s="297"/>
      <c r="F57" s="297"/>
      <c r="G57" s="297"/>
      <c r="H57" s="297"/>
      <c r="I57" s="297"/>
      <c r="J57" s="297"/>
      <c r="K57" s="297"/>
      <c r="L57" s="297"/>
    </row>
    <row r="58" spans="2:12" x14ac:dyDescent="0.25">
      <c r="B58" s="297"/>
      <c r="C58" s="297"/>
      <c r="D58" s="297"/>
      <c r="E58" s="297"/>
      <c r="F58" s="297"/>
      <c r="G58" s="297"/>
      <c r="H58" s="297"/>
      <c r="I58" s="297"/>
      <c r="J58" s="297"/>
      <c r="K58" s="297"/>
      <c r="L58" s="297"/>
    </row>
    <row r="59" spans="2:12" x14ac:dyDescent="0.25">
      <c r="B59" s="88"/>
      <c r="C59" s="88"/>
      <c r="D59" s="88"/>
      <c r="E59" s="88"/>
      <c r="F59" s="88"/>
      <c r="G59" s="88"/>
      <c r="H59" s="88"/>
      <c r="I59" s="88"/>
      <c r="J59" s="88"/>
      <c r="K59" s="88"/>
      <c r="L59" s="88"/>
    </row>
    <row r="60" spans="2:12" ht="15" customHeight="1" x14ac:dyDescent="0.25">
      <c r="B60" s="297" t="s">
        <v>138</v>
      </c>
      <c r="C60" s="297"/>
      <c r="D60" s="297"/>
      <c r="E60" s="297"/>
      <c r="F60" s="297"/>
      <c r="G60" s="297"/>
      <c r="H60" s="297"/>
      <c r="I60" s="297"/>
      <c r="J60" s="297"/>
      <c r="K60" s="297"/>
      <c r="L60" s="297"/>
    </row>
    <row r="61" spans="2:12" ht="15" customHeight="1" x14ac:dyDescent="0.25">
      <c r="B61" s="297"/>
      <c r="C61" s="297"/>
      <c r="D61" s="297"/>
      <c r="E61" s="297"/>
      <c r="F61" s="297"/>
      <c r="G61" s="297"/>
      <c r="H61" s="297"/>
      <c r="I61" s="297"/>
      <c r="J61" s="297"/>
      <c r="K61" s="297"/>
      <c r="L61" s="297"/>
    </row>
    <row r="62" spans="2:12" ht="15" customHeight="1" x14ac:dyDescent="0.25">
      <c r="B62" s="297"/>
      <c r="C62" s="297"/>
      <c r="D62" s="297"/>
      <c r="E62" s="297"/>
      <c r="F62" s="297"/>
      <c r="G62" s="297"/>
      <c r="H62" s="297"/>
      <c r="I62" s="297"/>
      <c r="J62" s="297"/>
      <c r="K62" s="297"/>
      <c r="L62" s="297"/>
    </row>
    <row r="63" spans="2:12" ht="15" customHeight="1" x14ac:dyDescent="0.25">
      <c r="B63" s="297"/>
      <c r="C63" s="297"/>
      <c r="D63" s="297"/>
      <c r="E63" s="297"/>
      <c r="F63" s="297"/>
      <c r="G63" s="297"/>
      <c r="H63" s="297"/>
      <c r="I63" s="297"/>
      <c r="J63" s="297"/>
      <c r="K63" s="297"/>
      <c r="L63" s="297"/>
    </row>
    <row r="64" spans="2:12" ht="15" customHeight="1" x14ac:dyDescent="0.25">
      <c r="B64" s="297"/>
      <c r="C64" s="297"/>
      <c r="D64" s="297"/>
      <c r="E64" s="297"/>
      <c r="F64" s="297"/>
      <c r="G64" s="297"/>
      <c r="H64" s="297"/>
      <c r="I64" s="297"/>
      <c r="J64" s="297"/>
      <c r="K64" s="297"/>
      <c r="L64" s="297"/>
    </row>
    <row r="65" spans="2:12" ht="15" customHeight="1" x14ac:dyDescent="0.25">
      <c r="B65" s="297"/>
      <c r="C65" s="297"/>
      <c r="D65" s="297"/>
      <c r="E65" s="297"/>
      <c r="F65" s="297"/>
      <c r="G65" s="297"/>
      <c r="H65" s="297"/>
      <c r="I65" s="297"/>
      <c r="J65" s="297"/>
      <c r="K65" s="297"/>
      <c r="L65" s="297"/>
    </row>
    <row r="66" spans="2:12" ht="15" customHeight="1" x14ac:dyDescent="0.25">
      <c r="B66" s="297"/>
      <c r="C66" s="297"/>
      <c r="D66" s="297"/>
      <c r="E66" s="297"/>
      <c r="F66" s="297"/>
      <c r="G66" s="297"/>
      <c r="H66" s="297"/>
      <c r="I66" s="297"/>
      <c r="J66" s="297"/>
      <c r="K66" s="297"/>
      <c r="L66" s="297"/>
    </row>
    <row r="67" spans="2:12" x14ac:dyDescent="0.25">
      <c r="B67" s="297"/>
      <c r="C67" s="297"/>
      <c r="D67" s="297"/>
      <c r="E67" s="297"/>
      <c r="F67" s="297"/>
      <c r="G67" s="297"/>
      <c r="H67" s="297"/>
      <c r="I67" s="297"/>
      <c r="J67" s="297"/>
      <c r="K67" s="297"/>
      <c r="L67" s="297"/>
    </row>
    <row r="68" spans="2:12" x14ac:dyDescent="0.25">
      <c r="B68" s="297"/>
      <c r="C68" s="297"/>
      <c r="D68" s="297"/>
      <c r="E68" s="297"/>
      <c r="F68" s="297"/>
      <c r="G68" s="297"/>
      <c r="H68" s="297"/>
      <c r="I68" s="297"/>
      <c r="J68" s="297"/>
      <c r="K68" s="297"/>
      <c r="L68" s="297"/>
    </row>
    <row r="69" spans="2:12" ht="51.75" customHeight="1" x14ac:dyDescent="0.25">
      <c r="B69" s="297"/>
      <c r="C69" s="297"/>
      <c r="D69" s="297"/>
      <c r="E69" s="297"/>
      <c r="F69" s="297"/>
      <c r="G69" s="297"/>
      <c r="H69" s="297"/>
      <c r="I69" s="297"/>
      <c r="J69" s="297"/>
      <c r="K69" s="297"/>
      <c r="L69" s="297"/>
    </row>
    <row r="70" spans="2:12" ht="15" customHeight="1" x14ac:dyDescent="0.25">
      <c r="B70" s="297" t="s">
        <v>223</v>
      </c>
      <c r="C70" s="297"/>
      <c r="D70" s="297"/>
      <c r="E70" s="297"/>
      <c r="F70" s="297"/>
      <c r="G70" s="297"/>
      <c r="H70" s="297"/>
      <c r="I70" s="297"/>
      <c r="J70" s="297"/>
      <c r="K70" s="297"/>
      <c r="L70" s="297"/>
    </row>
    <row r="71" spans="2:12" x14ac:dyDescent="0.25">
      <c r="B71" s="297"/>
      <c r="C71" s="297"/>
      <c r="D71" s="297"/>
      <c r="E71" s="297"/>
      <c r="F71" s="297"/>
      <c r="G71" s="297"/>
      <c r="H71" s="297"/>
      <c r="I71" s="297"/>
      <c r="J71" s="297"/>
      <c r="K71" s="297"/>
      <c r="L71" s="297"/>
    </row>
    <row r="72" spans="2:12" x14ac:dyDescent="0.25">
      <c r="B72" s="297"/>
      <c r="C72" s="297"/>
      <c r="D72" s="297"/>
      <c r="E72" s="297"/>
      <c r="F72" s="297"/>
      <c r="G72" s="297"/>
      <c r="H72" s="297"/>
      <c r="I72" s="297"/>
      <c r="J72" s="297"/>
      <c r="K72" s="297"/>
      <c r="L72" s="297"/>
    </row>
    <row r="74" spans="2:12" x14ac:dyDescent="0.25">
      <c r="B74" s="297" t="s">
        <v>213</v>
      </c>
      <c r="C74" s="297"/>
      <c r="D74" s="297"/>
      <c r="E74" s="297"/>
      <c r="F74" s="297"/>
      <c r="G74" s="297"/>
      <c r="H74" s="297"/>
      <c r="I74" s="297"/>
      <c r="J74" s="297"/>
      <c r="K74" s="297"/>
      <c r="L74" s="297"/>
    </row>
    <row r="75" spans="2:12" x14ac:dyDescent="0.25">
      <c r="B75" s="297"/>
      <c r="C75" s="297"/>
      <c r="D75" s="297"/>
      <c r="E75" s="297"/>
      <c r="F75" s="297"/>
      <c r="G75" s="297"/>
      <c r="H75" s="297"/>
      <c r="I75" s="297"/>
      <c r="J75" s="297"/>
      <c r="K75" s="297"/>
      <c r="L75" s="297"/>
    </row>
    <row r="76" spans="2:12" x14ac:dyDescent="0.25">
      <c r="B76" s="297"/>
      <c r="C76" s="297"/>
      <c r="D76" s="297"/>
      <c r="E76" s="297"/>
      <c r="F76" s="297"/>
      <c r="G76" s="297"/>
      <c r="H76" s="297"/>
      <c r="I76" s="297"/>
      <c r="J76" s="297"/>
      <c r="K76" s="297"/>
      <c r="L76" s="297"/>
    </row>
    <row r="77" spans="2:12" x14ac:dyDescent="0.25">
      <c r="B77" s="107"/>
      <c r="C77" s="107"/>
      <c r="D77" s="107"/>
      <c r="E77" s="107"/>
      <c r="F77" s="107"/>
      <c r="G77" s="107"/>
      <c r="H77" s="107"/>
      <c r="I77" s="107"/>
      <c r="J77" s="107"/>
      <c r="K77" s="107"/>
      <c r="L77" s="107"/>
    </row>
    <row r="78" spans="2:12" x14ac:dyDescent="0.25">
      <c r="B78" s="297" t="s">
        <v>212</v>
      </c>
      <c r="C78" s="297"/>
      <c r="D78" s="297"/>
      <c r="E78" s="297"/>
      <c r="F78" s="297"/>
      <c r="G78" s="297"/>
      <c r="H78" s="297"/>
      <c r="I78" s="297"/>
      <c r="J78" s="297"/>
      <c r="K78" s="297"/>
      <c r="L78" s="297"/>
    </row>
    <row r="79" spans="2:12" x14ac:dyDescent="0.25">
      <c r="B79" s="297"/>
      <c r="C79" s="297"/>
      <c r="D79" s="297"/>
      <c r="E79" s="297"/>
      <c r="F79" s="297"/>
      <c r="G79" s="297"/>
      <c r="H79" s="297"/>
      <c r="I79" s="297"/>
      <c r="J79" s="297"/>
      <c r="K79" s="297"/>
      <c r="L79" s="297"/>
    </row>
  </sheetData>
  <sheetProtection algorithmName="SHA-512" hashValue="dmC8WoVJOrPkrYv8W9G97II2JZtTgiEUYhJTr7NtMN4IfIVVowZT0jIz02ya+FlxYphlXzWvqg4rdZtjIRqsCA==" saltValue="LfuniNKuzJe+ULY5WIT9Ng==" spinCount="100000" sheet="1" objects="1" scenarios="1"/>
  <mergeCells count="13">
    <mergeCell ref="D2:L5"/>
    <mergeCell ref="B70:L72"/>
    <mergeCell ref="B74:L76"/>
    <mergeCell ref="B78:L79"/>
    <mergeCell ref="B49:L50"/>
    <mergeCell ref="B52:L55"/>
    <mergeCell ref="B56:L58"/>
    <mergeCell ref="B60:L69"/>
    <mergeCell ref="B42:L45"/>
    <mergeCell ref="B12:L13"/>
    <mergeCell ref="B15:L17"/>
    <mergeCell ref="B34:L36"/>
    <mergeCell ref="B38:L41"/>
  </mergeCells>
  <pageMargins left="0.7" right="0.7" top="0.75" bottom="0.75" header="0.3" footer="0.3"/>
  <pageSetup paperSize="9" scale="69" fitToHeight="0" orientation="portrait" horizontalDpi="4294967293" r:id="rId1"/>
  <rowBreaks count="1" manualBreakCount="1">
    <brk id="45"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FF00"/>
    <pageSetUpPr autoPageBreaks="0" fitToPage="1"/>
  </sheetPr>
  <dimension ref="A1:P27"/>
  <sheetViews>
    <sheetView showGridLines="0" zoomScaleNormal="100" zoomScaleSheetLayoutView="25" workbookViewId="0">
      <pane ySplit="2" topLeftCell="A3" activePane="bottomLeft" state="frozen"/>
      <selection activeCell="D1" sqref="D1"/>
      <selection pane="bottomLeft" activeCell="F5" sqref="F5:G5"/>
    </sheetView>
  </sheetViews>
  <sheetFormatPr defaultColWidth="9.140625" defaultRowHeight="12.75" x14ac:dyDescent="0.2"/>
  <cols>
    <col min="1" max="1" width="10.28515625" style="5" hidden="1" customWidth="1"/>
    <col min="2" max="2" width="7.5703125" style="4" hidden="1" customWidth="1"/>
    <col min="3" max="3" width="6.28515625" style="4" customWidth="1"/>
    <col min="4" max="4" width="6.28515625" style="5" customWidth="1"/>
    <col min="5" max="5" width="57.5703125" style="5" customWidth="1"/>
    <col min="6" max="7" width="32.7109375" style="5" customWidth="1"/>
    <col min="8" max="8" width="6.140625" style="5" customWidth="1"/>
    <col min="9" max="9" width="32.7109375" style="5" customWidth="1"/>
    <col min="10" max="10" width="9.140625" style="48" hidden="1" customWidth="1"/>
    <col min="11" max="16384" width="9.140625" style="5"/>
  </cols>
  <sheetData>
    <row r="1" spans="3:16" s="15" customFormat="1" ht="89.25" customHeight="1" x14ac:dyDescent="0.2">
      <c r="E1" s="300" t="str">
        <f>Tool_Name</f>
        <v>Penetration Testing Management
Maturity Assessment Tool</v>
      </c>
      <c r="F1" s="300"/>
      <c r="G1" s="300"/>
      <c r="J1" s="61"/>
    </row>
    <row r="2" spans="3:16" s="1" customFormat="1" ht="22.5" hidden="1" customHeight="1" x14ac:dyDescent="0.2">
      <c r="E2" s="2"/>
      <c r="F2" s="3"/>
      <c r="G2" s="4"/>
      <c r="H2" s="4"/>
      <c r="I2" s="4"/>
      <c r="J2" s="62"/>
      <c r="K2" s="4"/>
      <c r="L2" s="4"/>
      <c r="M2" s="4"/>
      <c r="N2" s="4"/>
      <c r="O2" s="4"/>
      <c r="P2" s="4"/>
    </row>
    <row r="3" spans="3:16" s="16" customFormat="1" ht="40.5" customHeight="1" x14ac:dyDescent="0.25">
      <c r="E3" s="17" t="s">
        <v>137</v>
      </c>
      <c r="F3" s="51"/>
      <c r="G3" s="18"/>
      <c r="H3" s="18"/>
      <c r="I3" s="18"/>
      <c r="J3" s="63"/>
      <c r="K3" s="18"/>
      <c r="L3" s="18"/>
      <c r="M3" s="18"/>
      <c r="N3" s="18"/>
      <c r="O3" s="18"/>
      <c r="P3" s="18"/>
    </row>
    <row r="4" spans="3:16" s="41" customFormat="1" ht="9.75" customHeight="1" x14ac:dyDescent="0.2">
      <c r="C4" s="42"/>
      <c r="D4" s="42"/>
      <c r="E4" s="43"/>
      <c r="F4" s="44"/>
      <c r="G4" s="45"/>
      <c r="H4" s="45"/>
      <c r="I4" s="45"/>
      <c r="J4" s="64"/>
      <c r="K4" s="45"/>
      <c r="L4" s="45"/>
      <c r="M4" s="45"/>
      <c r="N4" s="45"/>
      <c r="O4" s="45"/>
    </row>
    <row r="5" spans="3:16" s="1" customFormat="1" ht="24.95" customHeight="1" x14ac:dyDescent="0.25">
      <c r="C5" s="46"/>
      <c r="D5" s="47" t="s">
        <v>101</v>
      </c>
      <c r="E5" s="47" t="s">
        <v>99</v>
      </c>
      <c r="F5" s="301"/>
      <c r="G5" s="302"/>
      <c r="H5" s="5"/>
      <c r="I5" s="5"/>
      <c r="J5" s="48"/>
      <c r="K5" s="5"/>
      <c r="L5" s="5"/>
      <c r="M5" s="5"/>
      <c r="N5" s="5"/>
      <c r="O5" s="5"/>
    </row>
    <row r="6" spans="3:16" s="37" customFormat="1" ht="9.75" customHeight="1" x14ac:dyDescent="0.2">
      <c r="C6" s="38"/>
      <c r="D6" s="38"/>
      <c r="E6" s="39"/>
      <c r="F6" s="40"/>
      <c r="G6" s="15"/>
      <c r="H6" s="15"/>
      <c r="I6" s="15"/>
      <c r="J6" s="61"/>
      <c r="K6" s="15"/>
      <c r="L6" s="15"/>
      <c r="M6" s="15"/>
      <c r="N6" s="15"/>
      <c r="O6" s="15"/>
    </row>
    <row r="7" spans="3:16" s="41" customFormat="1" ht="9.75" customHeight="1" x14ac:dyDescent="0.2">
      <c r="C7" s="42"/>
      <c r="D7" s="42"/>
      <c r="E7" s="43"/>
      <c r="F7" s="44"/>
      <c r="G7" s="45"/>
      <c r="H7" s="45"/>
      <c r="I7" s="45"/>
      <c r="J7" s="64"/>
      <c r="K7" s="45"/>
      <c r="L7" s="45"/>
      <c r="M7" s="45"/>
      <c r="N7" s="45"/>
      <c r="O7" s="45"/>
    </row>
    <row r="8" spans="3:16" s="1" customFormat="1" ht="24.95" customHeight="1" x14ac:dyDescent="0.25">
      <c r="C8" s="46"/>
      <c r="D8" s="47" t="s">
        <v>102</v>
      </c>
      <c r="E8" s="47" t="s">
        <v>100</v>
      </c>
      <c r="F8" s="301"/>
      <c r="G8" s="302"/>
      <c r="H8" s="5"/>
      <c r="I8" s="5"/>
      <c r="J8" s="48"/>
      <c r="K8" s="5"/>
      <c r="L8" s="5"/>
      <c r="M8" s="5"/>
      <c r="N8" s="5"/>
      <c r="O8" s="5"/>
    </row>
    <row r="9" spans="3:16" s="37" customFormat="1" ht="9.75" customHeight="1" x14ac:dyDescent="0.2">
      <c r="C9" s="38"/>
      <c r="D9" s="38"/>
      <c r="E9" s="39"/>
      <c r="F9" s="40"/>
      <c r="G9" s="15"/>
      <c r="H9" s="15"/>
      <c r="I9" s="15"/>
      <c r="J9" s="61"/>
      <c r="K9" s="15"/>
      <c r="L9" s="15"/>
      <c r="M9" s="15"/>
      <c r="N9" s="15"/>
      <c r="O9" s="15"/>
    </row>
    <row r="10" spans="3:16" s="41" customFormat="1" ht="9.75" customHeight="1" x14ac:dyDescent="0.2">
      <c r="C10" s="42"/>
      <c r="D10" s="42"/>
      <c r="E10" s="43"/>
      <c r="F10" s="44"/>
      <c r="G10" s="45"/>
      <c r="H10" s="45"/>
      <c r="I10" s="45"/>
      <c r="J10" s="64"/>
      <c r="K10" s="45"/>
      <c r="L10" s="45"/>
      <c r="M10" s="45"/>
      <c r="N10" s="45"/>
      <c r="O10" s="45"/>
    </row>
    <row r="11" spans="3:16" s="1" customFormat="1" ht="24.95" customHeight="1" x14ac:dyDescent="0.25">
      <c r="C11" s="46"/>
      <c r="D11" s="47" t="s">
        <v>103</v>
      </c>
      <c r="E11" s="47" t="s">
        <v>61</v>
      </c>
      <c r="F11" s="301"/>
      <c r="G11" s="302"/>
      <c r="H11" s="5"/>
      <c r="I11" s="5"/>
      <c r="J11" s="48"/>
      <c r="K11" s="5"/>
      <c r="L11" s="5"/>
      <c r="M11" s="5"/>
      <c r="N11" s="5"/>
      <c r="O11" s="5"/>
    </row>
    <row r="12" spans="3:16" s="37" customFormat="1" ht="9.75" customHeight="1" x14ac:dyDescent="0.2">
      <c r="C12" s="38"/>
      <c r="D12" s="38"/>
      <c r="E12" s="39"/>
      <c r="F12" s="40"/>
      <c r="G12" s="15"/>
      <c r="H12" s="15"/>
      <c r="I12" s="15"/>
      <c r="J12" s="61"/>
      <c r="K12" s="15"/>
      <c r="L12" s="15"/>
      <c r="M12" s="15"/>
      <c r="N12" s="15"/>
      <c r="O12" s="15"/>
    </row>
    <row r="13" spans="3:16" s="41" customFormat="1" ht="9.75" customHeight="1" x14ac:dyDescent="0.2">
      <c r="C13" s="42"/>
      <c r="D13" s="42"/>
      <c r="E13" s="43"/>
      <c r="F13" s="44"/>
      <c r="G13" s="45"/>
      <c r="H13" s="45"/>
      <c r="I13" s="45"/>
      <c r="J13" s="64"/>
      <c r="K13" s="45"/>
      <c r="L13" s="45"/>
      <c r="M13" s="45"/>
      <c r="N13" s="45"/>
      <c r="O13" s="45"/>
    </row>
    <row r="14" spans="3:16" s="1" customFormat="1" ht="24.95" customHeight="1" x14ac:dyDescent="0.25">
      <c r="C14" s="46"/>
      <c r="D14" s="47" t="s">
        <v>104</v>
      </c>
      <c r="E14" s="47" t="s">
        <v>58</v>
      </c>
      <c r="F14" s="301"/>
      <c r="G14" s="302"/>
      <c r="H14" s="5"/>
      <c r="I14" s="5"/>
      <c r="J14" s="48"/>
      <c r="K14" s="5"/>
      <c r="L14" s="5"/>
      <c r="M14" s="5"/>
      <c r="N14" s="5"/>
      <c r="O14" s="5"/>
    </row>
    <row r="15" spans="3:16" s="37" customFormat="1" ht="9.75" customHeight="1" x14ac:dyDescent="0.2">
      <c r="C15" s="38"/>
      <c r="D15" s="38"/>
      <c r="E15" s="39"/>
      <c r="F15" s="40"/>
      <c r="G15" s="15"/>
      <c r="H15" s="15"/>
      <c r="I15" s="15"/>
      <c r="J15" s="61"/>
      <c r="K15" s="15"/>
      <c r="L15" s="15"/>
      <c r="M15" s="15"/>
      <c r="N15" s="15"/>
      <c r="O15" s="15"/>
    </row>
    <row r="16" spans="3:16" s="41" customFormat="1" ht="9.75" customHeight="1" x14ac:dyDescent="0.2">
      <c r="C16" s="42"/>
      <c r="D16" s="42"/>
      <c r="E16" s="43"/>
      <c r="F16" s="44"/>
      <c r="G16" s="45"/>
      <c r="H16" s="45"/>
      <c r="I16" s="45"/>
      <c r="J16" s="64"/>
      <c r="K16" s="45"/>
      <c r="L16" s="45"/>
      <c r="M16" s="45"/>
      <c r="N16" s="45"/>
      <c r="O16" s="45"/>
    </row>
    <row r="17" spans="3:15" s="1" customFormat="1" ht="24.95" customHeight="1" x14ac:dyDescent="0.25">
      <c r="C17" s="46"/>
      <c r="D17" s="47" t="s">
        <v>105</v>
      </c>
      <c r="E17" s="47" t="s">
        <v>59</v>
      </c>
      <c r="F17" s="13"/>
      <c r="G17" s="13"/>
      <c r="H17" s="5"/>
      <c r="I17" s="5"/>
      <c r="J17" s="48">
        <v>1</v>
      </c>
      <c r="K17" s="5"/>
      <c r="L17" s="5"/>
      <c r="M17" s="5"/>
      <c r="N17" s="5"/>
      <c r="O17" s="5"/>
    </row>
    <row r="18" spans="3:15" s="37" customFormat="1" ht="9.75" customHeight="1" x14ac:dyDescent="0.2">
      <c r="C18" s="38"/>
      <c r="D18" s="38"/>
      <c r="E18" s="39"/>
      <c r="F18" s="40"/>
      <c r="G18" s="15"/>
      <c r="H18" s="15"/>
      <c r="I18" s="15"/>
      <c r="J18" s="61"/>
      <c r="K18" s="15"/>
      <c r="L18" s="15"/>
      <c r="M18" s="15"/>
      <c r="N18" s="15"/>
      <c r="O18" s="15"/>
    </row>
    <row r="19" spans="3:15" s="41" customFormat="1" ht="9.75" customHeight="1" x14ac:dyDescent="0.2">
      <c r="C19" s="42"/>
      <c r="D19" s="42"/>
      <c r="E19" s="43"/>
      <c r="F19" s="44"/>
      <c r="G19" s="45"/>
      <c r="H19" s="45"/>
      <c r="I19" s="45"/>
      <c r="J19" s="64"/>
      <c r="K19" s="45"/>
      <c r="L19" s="45"/>
      <c r="M19" s="45"/>
      <c r="N19" s="45"/>
      <c r="O19" s="45"/>
    </row>
    <row r="20" spans="3:15" s="1" customFormat="1" ht="24.95" customHeight="1" x14ac:dyDescent="0.25">
      <c r="C20" s="46"/>
      <c r="D20" s="47" t="s">
        <v>106</v>
      </c>
      <c r="E20" s="47" t="s">
        <v>109</v>
      </c>
      <c r="F20" s="13"/>
      <c r="G20" s="13"/>
      <c r="H20" s="5"/>
      <c r="I20" s="5"/>
      <c r="J20" s="48">
        <v>1</v>
      </c>
      <c r="K20" s="5"/>
      <c r="L20" s="5"/>
      <c r="M20" s="5"/>
      <c r="N20" s="5"/>
      <c r="O20" s="5"/>
    </row>
    <row r="21" spans="3:15" s="37" customFormat="1" ht="9.75" customHeight="1" x14ac:dyDescent="0.2">
      <c r="C21" s="38"/>
      <c r="D21" s="38"/>
      <c r="E21" s="39"/>
      <c r="F21" s="40"/>
      <c r="G21" s="15"/>
      <c r="H21" s="15"/>
      <c r="I21" s="15"/>
      <c r="J21" s="61"/>
      <c r="K21" s="15"/>
      <c r="L21" s="15"/>
      <c r="M21" s="15"/>
      <c r="N21" s="15"/>
      <c r="O21" s="15"/>
    </row>
    <row r="22" spans="3:15" s="41" customFormat="1" ht="9.75" customHeight="1" x14ac:dyDescent="0.2">
      <c r="C22" s="42"/>
      <c r="D22" s="42"/>
      <c r="E22" s="43"/>
      <c r="F22" s="44"/>
      <c r="G22" s="45"/>
      <c r="H22" s="45"/>
      <c r="I22" s="45"/>
      <c r="J22" s="64"/>
      <c r="K22" s="45"/>
      <c r="L22" s="45"/>
      <c r="M22" s="45"/>
      <c r="N22" s="45"/>
      <c r="O22" s="45"/>
    </row>
    <row r="23" spans="3:15" s="1" customFormat="1" ht="24.95" customHeight="1" x14ac:dyDescent="0.25">
      <c r="C23" s="46"/>
      <c r="D23" s="47" t="s">
        <v>107</v>
      </c>
      <c r="E23" s="47" t="s">
        <v>119</v>
      </c>
      <c r="F23" s="13"/>
      <c r="G23" s="13"/>
      <c r="H23" s="5"/>
      <c r="I23" s="5"/>
      <c r="J23" s="48">
        <v>1</v>
      </c>
      <c r="K23" s="5"/>
      <c r="L23" s="5"/>
      <c r="M23" s="5"/>
      <c r="N23" s="5"/>
      <c r="O23" s="5"/>
    </row>
    <row r="24" spans="3:15" s="37" customFormat="1" ht="9.75" customHeight="1" x14ac:dyDescent="0.2">
      <c r="C24" s="38"/>
      <c r="D24" s="38"/>
      <c r="E24" s="39"/>
      <c r="F24" s="40"/>
      <c r="G24" s="15"/>
      <c r="H24" s="15"/>
      <c r="I24" s="15"/>
      <c r="J24" s="61"/>
      <c r="K24" s="15"/>
      <c r="L24" s="15"/>
      <c r="M24" s="15"/>
      <c r="N24" s="15"/>
      <c r="O24" s="15"/>
    </row>
    <row r="25" spans="3:15" s="41" customFormat="1" ht="9.75" customHeight="1" x14ac:dyDescent="0.2">
      <c r="C25" s="42"/>
      <c r="D25" s="42"/>
      <c r="E25" s="43"/>
      <c r="F25" s="44"/>
      <c r="G25" s="45"/>
      <c r="H25" s="45"/>
      <c r="I25" s="45"/>
      <c r="J25" s="64"/>
      <c r="K25" s="45"/>
      <c r="L25" s="45"/>
      <c r="M25" s="45"/>
      <c r="N25" s="45"/>
      <c r="O25" s="45"/>
    </row>
    <row r="26" spans="3:15" s="1" customFormat="1" ht="24.95" customHeight="1" x14ac:dyDescent="0.25">
      <c r="C26" s="46"/>
      <c r="D26" s="47" t="s">
        <v>108</v>
      </c>
      <c r="E26" s="47" t="s">
        <v>60</v>
      </c>
      <c r="F26" s="168"/>
      <c r="G26" s="13"/>
      <c r="H26" s="5"/>
      <c r="I26" s="5"/>
      <c r="J26" s="48"/>
      <c r="K26" s="5"/>
      <c r="L26" s="5"/>
      <c r="M26" s="5"/>
      <c r="N26" s="5"/>
      <c r="O26" s="5"/>
    </row>
    <row r="27" spans="3:15" s="37" customFormat="1" ht="9.75" customHeight="1" x14ac:dyDescent="0.2">
      <c r="C27" s="38"/>
      <c r="D27" s="38"/>
      <c r="E27" s="39"/>
      <c r="F27" s="40"/>
      <c r="G27" s="15"/>
      <c r="H27" s="15"/>
      <c r="I27" s="15"/>
      <c r="J27" s="61"/>
      <c r="K27" s="15"/>
      <c r="L27" s="15"/>
      <c r="M27" s="15"/>
      <c r="N27" s="15"/>
      <c r="O27" s="15"/>
    </row>
  </sheetData>
  <sheetProtection algorithmName="SHA-512" hashValue="sYP/lFZLgu8wSefr7hK0ybtaO4lpTTxmZ/MBjONxtu3lqXA6Oz2AWfkVwpvatocu5cCUeZQyhkfFdGcCHl8g0Q==" saltValue="FGYSYMuOBTe2pvDqwemFjQ==" spinCount="100000" sheet="1" objects="1" scenarios="1"/>
  <dataConsolidate/>
  <mergeCells count="5">
    <mergeCell ref="E1:G1"/>
    <mergeCell ref="F5:G5"/>
    <mergeCell ref="F8:G8"/>
    <mergeCell ref="F11:G11"/>
    <mergeCell ref="F14:G14"/>
  </mergeCells>
  <conditionalFormatting sqref="A14:C14 H14:XFD14 E14">
    <cfRule type="expression" dxfId="69" priority="239" stopIfTrue="1">
      <formula>#REF!=11</formula>
    </cfRule>
    <cfRule type="expression" dxfId="68" priority="240">
      <formula>LEN(#REF!)=0</formula>
    </cfRule>
  </conditionalFormatting>
  <conditionalFormatting sqref="A13:XFD13">
    <cfRule type="expression" dxfId="67" priority="237" stopIfTrue="1">
      <formula>#REF!=11</formula>
    </cfRule>
    <cfRule type="expression" dxfId="66" priority="238">
      <formula>LEN(#REF!)=0</formula>
    </cfRule>
  </conditionalFormatting>
  <conditionalFormatting sqref="A15:XFD15">
    <cfRule type="expression" dxfId="65" priority="235" stopIfTrue="1">
      <formula>#REF!=11</formula>
    </cfRule>
    <cfRule type="expression" dxfId="64" priority="236">
      <formula>LEN(#REF!)=0</formula>
    </cfRule>
  </conditionalFormatting>
  <conditionalFormatting sqref="H5:XFD5 A5:E5">
    <cfRule type="expression" dxfId="63" priority="209" stopIfTrue="1">
      <formula>#REF!=11</formula>
    </cfRule>
    <cfRule type="expression" dxfId="62" priority="210">
      <formula>LEN(#REF!)=0</formula>
    </cfRule>
  </conditionalFormatting>
  <conditionalFormatting sqref="A4:XFD4">
    <cfRule type="expression" dxfId="61" priority="207" stopIfTrue="1">
      <formula>#REF!=11</formula>
    </cfRule>
    <cfRule type="expression" dxfId="60" priority="208">
      <formula>LEN(#REF!)=0</formula>
    </cfRule>
  </conditionalFormatting>
  <conditionalFormatting sqref="A6:XFD6">
    <cfRule type="expression" dxfId="59" priority="205" stopIfTrue="1">
      <formula>#REF!=11</formula>
    </cfRule>
    <cfRule type="expression" dxfId="58" priority="206">
      <formula>LEN(#REF!)=0</formula>
    </cfRule>
  </conditionalFormatting>
  <conditionalFormatting sqref="F5">
    <cfRule type="expression" dxfId="57" priority="203" stopIfTrue="1">
      <formula>#REF!=11</formula>
    </cfRule>
    <cfRule type="expression" dxfId="56" priority="204">
      <formula>LEN(#REF!)=0</formula>
    </cfRule>
  </conditionalFormatting>
  <conditionalFormatting sqref="A8:C8 H8:XFD8 E8">
    <cfRule type="expression" dxfId="55" priority="201" stopIfTrue="1">
      <formula>#REF!=11</formula>
    </cfRule>
    <cfRule type="expression" dxfId="54" priority="202">
      <formula>LEN(#REF!)=0</formula>
    </cfRule>
  </conditionalFormatting>
  <conditionalFormatting sqref="A7:XFD7">
    <cfRule type="expression" dxfId="53" priority="199" stopIfTrue="1">
      <formula>#REF!=11</formula>
    </cfRule>
    <cfRule type="expression" dxfId="52" priority="200">
      <formula>LEN(#REF!)=0</formula>
    </cfRule>
  </conditionalFormatting>
  <conditionalFormatting sqref="A9:XFD9">
    <cfRule type="expression" dxfId="51" priority="197" stopIfTrue="1">
      <formula>#REF!=11</formula>
    </cfRule>
    <cfRule type="expression" dxfId="50" priority="198">
      <formula>LEN(#REF!)=0</formula>
    </cfRule>
  </conditionalFormatting>
  <conditionalFormatting sqref="A11:C11 H11:XFD11 E11">
    <cfRule type="expression" dxfId="49" priority="193" stopIfTrue="1">
      <formula>#REF!=11</formula>
    </cfRule>
    <cfRule type="expression" dxfId="48" priority="194">
      <formula>LEN(#REF!)=0</formula>
    </cfRule>
  </conditionalFormatting>
  <conditionalFormatting sqref="A10:XFD10">
    <cfRule type="expression" dxfId="47" priority="191" stopIfTrue="1">
      <formula>#REF!=11</formula>
    </cfRule>
    <cfRule type="expression" dxfId="46" priority="192">
      <formula>LEN(#REF!)=0</formula>
    </cfRule>
  </conditionalFormatting>
  <conditionalFormatting sqref="A12:XFD12">
    <cfRule type="expression" dxfId="45" priority="189" stopIfTrue="1">
      <formula>#REF!=11</formula>
    </cfRule>
    <cfRule type="expression" dxfId="44" priority="190">
      <formula>LEN(#REF!)=0</formula>
    </cfRule>
  </conditionalFormatting>
  <conditionalFormatting sqref="A17:C17 H17:XFD17 E17">
    <cfRule type="expression" dxfId="43" priority="177" stopIfTrue="1">
      <formula>#REF!=11</formula>
    </cfRule>
    <cfRule type="expression" dxfId="42" priority="178">
      <formula>LEN(#REF!)=0</formula>
    </cfRule>
  </conditionalFormatting>
  <conditionalFormatting sqref="A16:XFD16">
    <cfRule type="expression" dxfId="41" priority="175" stopIfTrue="1">
      <formula>#REF!=11</formula>
    </cfRule>
    <cfRule type="expression" dxfId="40" priority="176">
      <formula>LEN(#REF!)=0</formula>
    </cfRule>
  </conditionalFormatting>
  <conditionalFormatting sqref="A18:XFD18">
    <cfRule type="expression" dxfId="39" priority="173" stopIfTrue="1">
      <formula>#REF!=11</formula>
    </cfRule>
    <cfRule type="expression" dxfId="38" priority="174">
      <formula>LEN(#REF!)=0</formula>
    </cfRule>
  </conditionalFormatting>
  <conditionalFormatting sqref="A26:C26 H26:XFD26 E26:F26">
    <cfRule type="expression" dxfId="37" priority="137" stopIfTrue="1">
      <formula>#REF!=11</formula>
    </cfRule>
    <cfRule type="expression" dxfId="36" priority="138">
      <formula>LEN(#REF!)=0</formula>
    </cfRule>
  </conditionalFormatting>
  <conditionalFormatting sqref="A25:XFD25">
    <cfRule type="expression" dxfId="35" priority="135" stopIfTrue="1">
      <formula>#REF!=11</formula>
    </cfRule>
    <cfRule type="expression" dxfId="34" priority="136">
      <formula>LEN(#REF!)=0</formula>
    </cfRule>
  </conditionalFormatting>
  <conditionalFormatting sqref="A27:XFD27">
    <cfRule type="expression" dxfId="33" priority="133" stopIfTrue="1">
      <formula>#REF!=11</formula>
    </cfRule>
    <cfRule type="expression" dxfId="32" priority="134">
      <formula>LEN(#REF!)=0</formula>
    </cfRule>
  </conditionalFormatting>
  <conditionalFormatting sqref="A20:C20 H20:XFD20 E20">
    <cfRule type="expression" dxfId="31" priority="131" stopIfTrue="1">
      <formula>#REF!=11</formula>
    </cfRule>
    <cfRule type="expression" dxfId="30" priority="132">
      <formula>LEN(#REF!)=0</formula>
    </cfRule>
  </conditionalFormatting>
  <conditionalFormatting sqref="A19:XFD19">
    <cfRule type="expression" dxfId="29" priority="129" stopIfTrue="1">
      <formula>#REF!=11</formula>
    </cfRule>
    <cfRule type="expression" dxfId="28" priority="130">
      <formula>LEN(#REF!)=0</formula>
    </cfRule>
  </conditionalFormatting>
  <conditionalFormatting sqref="A21:XFD21">
    <cfRule type="expression" dxfId="27" priority="127" stopIfTrue="1">
      <formula>#REF!=11</formula>
    </cfRule>
    <cfRule type="expression" dxfId="26" priority="128">
      <formula>LEN(#REF!)=0</formula>
    </cfRule>
  </conditionalFormatting>
  <conditionalFormatting sqref="D8">
    <cfRule type="expression" dxfId="25" priority="123" stopIfTrue="1">
      <formula>#REF!=11</formula>
    </cfRule>
    <cfRule type="expression" dxfId="24" priority="124">
      <formula>LEN(#REF!)=0</formula>
    </cfRule>
  </conditionalFormatting>
  <conditionalFormatting sqref="D11">
    <cfRule type="expression" dxfId="23" priority="121" stopIfTrue="1">
      <formula>#REF!=11</formula>
    </cfRule>
    <cfRule type="expression" dxfId="22" priority="122">
      <formula>LEN(#REF!)=0</formula>
    </cfRule>
  </conditionalFormatting>
  <conditionalFormatting sqref="D14">
    <cfRule type="expression" dxfId="21" priority="119" stopIfTrue="1">
      <formula>#REF!=11</formula>
    </cfRule>
    <cfRule type="expression" dxfId="20" priority="120">
      <formula>LEN(#REF!)=0</formula>
    </cfRule>
  </conditionalFormatting>
  <conditionalFormatting sqref="D17">
    <cfRule type="expression" dxfId="19" priority="117" stopIfTrue="1">
      <formula>#REF!=11</formula>
    </cfRule>
    <cfRule type="expression" dxfId="18" priority="118">
      <formula>LEN(#REF!)=0</formula>
    </cfRule>
  </conditionalFormatting>
  <conditionalFormatting sqref="D20">
    <cfRule type="expression" dxfId="17" priority="115" stopIfTrue="1">
      <formula>#REF!=11</formula>
    </cfRule>
    <cfRule type="expression" dxfId="16" priority="116">
      <formula>LEN(#REF!)=0</formula>
    </cfRule>
  </conditionalFormatting>
  <conditionalFormatting sqref="D26">
    <cfRule type="expression" dxfId="15" priority="113" stopIfTrue="1">
      <formula>#REF!=11</formula>
    </cfRule>
    <cfRule type="expression" dxfId="14" priority="114">
      <formula>LEN(#REF!)=0</formula>
    </cfRule>
  </conditionalFormatting>
  <conditionalFormatting sqref="D23">
    <cfRule type="expression" dxfId="13" priority="99" stopIfTrue="1">
      <formula>#REF!=11</formula>
    </cfRule>
    <cfRule type="expression" dxfId="12" priority="100">
      <formula>LEN(#REF!)=0</formula>
    </cfRule>
  </conditionalFormatting>
  <conditionalFormatting sqref="A23:C23 H23:XFD23 E23">
    <cfRule type="expression" dxfId="11" priority="105" stopIfTrue="1">
      <formula>#REF!=11</formula>
    </cfRule>
    <cfRule type="expression" dxfId="10" priority="106">
      <formula>LEN(#REF!)=0</formula>
    </cfRule>
  </conditionalFormatting>
  <conditionalFormatting sqref="A22:XFD22">
    <cfRule type="expression" dxfId="9" priority="103" stopIfTrue="1">
      <formula>#REF!=11</formula>
    </cfRule>
    <cfRule type="expression" dxfId="8" priority="104">
      <formula>LEN(#REF!)=0</formula>
    </cfRule>
  </conditionalFormatting>
  <conditionalFormatting sqref="A24:XFD24">
    <cfRule type="expression" dxfId="7" priority="101" stopIfTrue="1">
      <formula>#REF!=11</formula>
    </cfRule>
    <cfRule type="expression" dxfId="6" priority="102">
      <formula>LEN(#REF!)=0</formula>
    </cfRule>
  </conditionalFormatting>
  <conditionalFormatting sqref="F8">
    <cfRule type="expression" dxfId="5" priority="5" stopIfTrue="1">
      <formula>#REF!=11</formula>
    </cfRule>
    <cfRule type="expression" dxfId="4" priority="6">
      <formula>LEN(#REF!)=0</formula>
    </cfRule>
  </conditionalFormatting>
  <conditionalFormatting sqref="F11">
    <cfRule type="expression" dxfId="3" priority="3" stopIfTrue="1">
      <formula>#REF!=11</formula>
    </cfRule>
    <cfRule type="expression" dxfId="2" priority="4">
      <formula>LEN(#REF!)=0</formula>
    </cfRule>
  </conditionalFormatting>
  <conditionalFormatting sqref="F14">
    <cfRule type="expression" dxfId="1" priority="1" stopIfTrue="1">
      <formula>#REF!=11</formula>
    </cfRule>
    <cfRule type="expression" dxfId="0" priority="2">
      <formula>LEN(#REF!)=0</formula>
    </cfRule>
  </conditionalFormatting>
  <dataValidations count="1">
    <dataValidation type="date" allowBlank="1" showInputMessage="1" showErrorMessage="1" errorTitle="Not a valid date" error="Only dates are valid in this field e.g. 2017-01-24" sqref="F26" xr:uid="{00000000-0002-0000-0200-000000000000}">
      <formula1>1</formula1>
      <formula2>109939</formula2>
    </dataValidation>
  </dataValidations>
  <printOptions horizontalCentered="1"/>
  <pageMargins left="0.51181102362204722" right="0.43307086614173229" top="0.59055118110236227" bottom="0.62992125984251968" header="0.51181102362204722" footer="0.51181102362204722"/>
  <pageSetup paperSize="9" fitToHeight="0" orientation="landscape" horizontalDpi="4294967293"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40" r:id="rId4" name="Drop Down 40">
              <controlPr locked="0" defaultSize="0" autoFill="0" autoPict="0">
                <anchor moveWithCells="1">
                  <from>
                    <xdr:col>5</xdr:col>
                    <xdr:colOff>0</xdr:colOff>
                    <xdr:row>16</xdr:row>
                    <xdr:rowOff>47625</xdr:rowOff>
                  </from>
                  <to>
                    <xdr:col>6</xdr:col>
                    <xdr:colOff>1123950</xdr:colOff>
                    <xdr:row>16</xdr:row>
                    <xdr:rowOff>266700</xdr:rowOff>
                  </to>
                </anchor>
              </controlPr>
            </control>
          </mc:Choice>
        </mc:AlternateContent>
        <mc:AlternateContent xmlns:mc="http://schemas.openxmlformats.org/markup-compatibility/2006">
          <mc:Choice Requires="x14">
            <control shapeId="25646" r:id="rId5" name="Drop Down 46">
              <controlPr locked="0" defaultSize="0" autoFill="0" autoPict="0">
                <anchor moveWithCells="1">
                  <from>
                    <xdr:col>5</xdr:col>
                    <xdr:colOff>0</xdr:colOff>
                    <xdr:row>19</xdr:row>
                    <xdr:rowOff>47625</xdr:rowOff>
                  </from>
                  <to>
                    <xdr:col>6</xdr:col>
                    <xdr:colOff>1123950</xdr:colOff>
                    <xdr:row>19</xdr:row>
                    <xdr:rowOff>266700</xdr:rowOff>
                  </to>
                </anchor>
              </controlPr>
            </control>
          </mc:Choice>
        </mc:AlternateContent>
        <mc:AlternateContent xmlns:mc="http://schemas.openxmlformats.org/markup-compatibility/2006">
          <mc:Choice Requires="x14">
            <control shapeId="25647" r:id="rId6" name="Drop Down 47">
              <controlPr locked="0" defaultSize="0" autoFill="0" autoPict="0">
                <anchor moveWithCells="1">
                  <from>
                    <xdr:col>5</xdr:col>
                    <xdr:colOff>0</xdr:colOff>
                    <xdr:row>22</xdr:row>
                    <xdr:rowOff>47625</xdr:rowOff>
                  </from>
                  <to>
                    <xdr:col>6</xdr:col>
                    <xdr:colOff>1123950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FFFF00"/>
    <pageSetUpPr autoPageBreaks="0" fitToPage="1"/>
  </sheetPr>
  <dimension ref="A1:BA40"/>
  <sheetViews>
    <sheetView showGridLines="0" showRowColHeaders="0" zoomScale="80" zoomScaleNormal="80" workbookViewId="0">
      <selection activeCell="C4" sqref="C4"/>
    </sheetView>
  </sheetViews>
  <sheetFormatPr defaultColWidth="9.140625" defaultRowHeight="15" x14ac:dyDescent="0.25"/>
  <cols>
    <col min="1" max="1" width="4.140625" style="13" customWidth="1"/>
    <col min="2" max="2" width="6.28515625" style="13" hidden="1" customWidth="1"/>
    <col min="3" max="3" width="47.5703125" style="13" hidden="1" customWidth="1"/>
    <col min="4" max="4" width="77" style="13" customWidth="1"/>
    <col min="5" max="5" width="21.5703125" style="13" customWidth="1"/>
    <col min="6" max="6" width="9.7109375" style="13" customWidth="1"/>
    <col min="7" max="8" width="11.85546875" style="13" customWidth="1"/>
    <col min="9" max="9" width="13.5703125" style="13" customWidth="1"/>
    <col min="10" max="10" width="13" style="13" customWidth="1"/>
    <col min="11" max="13" width="9.140625" style="13" hidden="1" customWidth="1"/>
    <col min="14" max="14" width="12" style="13" customWidth="1"/>
    <col min="15" max="17" width="12.85546875" style="13" customWidth="1"/>
    <col min="18" max="19" width="11.42578125" style="13" customWidth="1"/>
    <col min="20" max="20" width="9.140625" style="13" customWidth="1"/>
    <col min="21" max="21" width="9.140625" style="21" customWidth="1"/>
    <col min="22" max="24" width="9.140625" style="13"/>
    <col min="25" max="36" width="9.140625" customWidth="1"/>
    <col min="37" max="37" width="8.85546875" customWidth="1"/>
    <col min="38" max="52" width="9.140625" style="13"/>
    <col min="53" max="53" width="0" style="13" hidden="1" customWidth="1"/>
    <col min="54" max="16384" width="9.140625" style="13"/>
  </cols>
  <sheetData>
    <row r="1" spans="1:53" ht="111.6" customHeight="1" x14ac:dyDescent="0.25">
      <c r="D1" s="108" t="s">
        <v>157</v>
      </c>
      <c r="E1" s="108"/>
      <c r="F1" s="108"/>
      <c r="G1" s="306"/>
      <c r="H1" s="306"/>
      <c r="I1" s="306"/>
      <c r="J1" s="306"/>
      <c r="K1" s="108"/>
      <c r="L1" s="108"/>
      <c r="M1" s="108"/>
      <c r="N1" s="305"/>
      <c r="O1" s="305"/>
      <c r="P1" s="305"/>
      <c r="Q1" s="305"/>
      <c r="R1" s="305"/>
      <c r="S1" s="305"/>
    </row>
    <row r="2" spans="1:53" s="7" customFormat="1" ht="15.75" customHeight="1" x14ac:dyDescent="0.25">
      <c r="B2" s="6"/>
      <c r="C2" s="6" t="s">
        <v>84</v>
      </c>
      <c r="D2" s="35" t="s">
        <v>84</v>
      </c>
      <c r="E2" s="303" t="s">
        <v>12</v>
      </c>
      <c r="F2" s="304"/>
      <c r="G2" s="113"/>
      <c r="H2" s="307" t="s">
        <v>95</v>
      </c>
      <c r="I2" s="307"/>
      <c r="J2" s="114"/>
      <c r="L2" s="166"/>
      <c r="U2" s="166"/>
      <c r="Y2"/>
      <c r="Z2"/>
      <c r="AA2"/>
      <c r="AB2"/>
      <c r="AC2"/>
      <c r="AD2"/>
      <c r="AE2"/>
      <c r="AF2"/>
      <c r="AG2"/>
      <c r="AH2"/>
      <c r="AI2"/>
      <c r="AJ2"/>
      <c r="AK2"/>
      <c r="BA2" s="7" t="b">
        <v>0</v>
      </c>
    </row>
    <row r="3" spans="1:53" ht="30" hidden="1" customHeight="1" x14ac:dyDescent="0.25">
      <c r="A3" s="7"/>
      <c r="B3" s="22" t="s">
        <v>14</v>
      </c>
      <c r="C3" s="22">
        <f ca="1">VLOOKUP(B3,MMAT_Header_Text,2,FALSE)</f>
        <v>0</v>
      </c>
      <c r="D3" s="36" t="str">
        <f ca="1">B3&amp;" - "&amp;C3</f>
        <v>CSIR - 0</v>
      </c>
      <c r="E3" s="23">
        <f ca="1">F3</f>
        <v>0</v>
      </c>
      <c r="F3" s="25">
        <f ca="1">VLOOKUP(B3,MMAT_Header_Text,6,FALSE)</f>
        <v>0</v>
      </c>
      <c r="G3" s="113"/>
      <c r="H3" s="307"/>
      <c r="I3" s="307"/>
      <c r="J3" s="114"/>
      <c r="L3" s="49" t="b">
        <v>1</v>
      </c>
    </row>
    <row r="4" spans="1:53" ht="30" customHeight="1" x14ac:dyDescent="0.25">
      <c r="A4" s="7"/>
      <c r="B4" s="90" t="str">
        <f>'MMAT Ref'!AB2</f>
        <v>A</v>
      </c>
      <c r="C4" s="90" t="str">
        <f t="shared" ref="C4:C28" ca="1" si="0">VLOOKUP(B4,MMAT_Text_Ref,3,FALSE)</f>
        <v>Preparation</v>
      </c>
      <c r="D4" s="91" t="str">
        <f t="shared" ref="D4:D28" ca="1" si="1">VLOOKUP(B4,MMAT_Text_Ref,2,FALSE)&amp; " - "&amp;C4</f>
        <v>Stage A - Preparation</v>
      </c>
      <c r="E4" s="92"/>
      <c r="F4" s="169"/>
      <c r="G4" s="113"/>
      <c r="H4" s="307"/>
      <c r="I4" s="307"/>
      <c r="J4" s="114"/>
      <c r="L4" s="49" t="b">
        <v>0</v>
      </c>
      <c r="N4" s="171" t="s">
        <v>136</v>
      </c>
      <c r="O4" s="173" t="s">
        <v>96</v>
      </c>
      <c r="P4" s="173" t="s">
        <v>79</v>
      </c>
      <c r="Q4" s="173" t="s">
        <v>139</v>
      </c>
      <c r="R4" s="173" t="s">
        <v>80</v>
      </c>
      <c r="S4" s="174" t="s">
        <v>81</v>
      </c>
    </row>
    <row r="5" spans="1:53" ht="30" customHeight="1" x14ac:dyDescent="0.25">
      <c r="A5" s="7"/>
      <c r="B5" s="8" t="str">
        <f>'MMAT Ref'!AB3</f>
        <v>A.1</v>
      </c>
      <c r="C5" s="8" t="str">
        <f t="shared" ca="1" si="0"/>
        <v>Maintain a technical security assurance framework</v>
      </c>
      <c r="D5" s="32" t="str">
        <f t="shared" ca="1" si="1"/>
        <v>Step 1 - Maintain a technical security assurance framework</v>
      </c>
      <c r="E5" s="23">
        <f>F5</f>
        <v>2</v>
      </c>
      <c r="F5" s="211">
        <f>IF(L$3,N5,IF(L$4,O5,IF(L$5,P5,IF(L$6,Q5,IF(L$7,R5,IF(L$8,S5))))))</f>
        <v>2</v>
      </c>
      <c r="L5" s="49" t="b">
        <v>0</v>
      </c>
      <c r="N5" s="205">
        <v>2</v>
      </c>
      <c r="O5" s="206">
        <v>2</v>
      </c>
      <c r="P5" s="206">
        <v>3</v>
      </c>
      <c r="Q5" s="206">
        <v>4</v>
      </c>
      <c r="R5" s="206">
        <v>5</v>
      </c>
      <c r="S5" s="207">
        <v>1</v>
      </c>
    </row>
    <row r="6" spans="1:53" ht="30" customHeight="1" x14ac:dyDescent="0.25">
      <c r="B6" s="8" t="str">
        <f>'MMAT Ref'!AB4</f>
        <v>A.2</v>
      </c>
      <c r="C6" s="8" t="str">
        <f t="shared" ca="1" si="0"/>
        <v>Establish a penetration testing governance structure</v>
      </c>
      <c r="D6" s="8" t="str">
        <f t="shared" ca="1" si="1"/>
        <v>Step 2 - Establish a penetration testing governance structure</v>
      </c>
      <c r="E6" s="23">
        <f>F6</f>
        <v>2</v>
      </c>
      <c r="F6" s="211">
        <f t="shared" ref="F6:F8" si="2">IF(L$3,N6,IF(L$4,O6,IF(L$5,P6,IF(L$6,Q6,IF(L$7,R6,IF(L$8,S6))))))</f>
        <v>2</v>
      </c>
      <c r="L6" s="49" t="b">
        <v>0</v>
      </c>
      <c r="N6" s="205">
        <v>2</v>
      </c>
      <c r="O6" s="206">
        <v>2</v>
      </c>
      <c r="P6" s="206">
        <v>3</v>
      </c>
      <c r="Q6" s="206">
        <v>4</v>
      </c>
      <c r="R6" s="206">
        <v>5</v>
      </c>
      <c r="S6" s="207">
        <v>1</v>
      </c>
    </row>
    <row r="7" spans="1:53" ht="30" customHeight="1" x14ac:dyDescent="0.25">
      <c r="B7" s="8" t="str">
        <f>'MMAT Ref'!AB5</f>
        <v>A.3</v>
      </c>
      <c r="C7" s="8" t="str">
        <f t="shared" ca="1" si="0"/>
        <v>Evaluate drivers for conducting penetration tests</v>
      </c>
      <c r="D7" s="8" t="str">
        <f t="shared" ca="1" si="1"/>
        <v>Step 3 - Evaluate drivers for conducting penetration tests</v>
      </c>
      <c r="E7" s="23">
        <f>F7</f>
        <v>2</v>
      </c>
      <c r="F7" s="211">
        <f t="shared" si="2"/>
        <v>2</v>
      </c>
      <c r="L7" s="49" t="b">
        <v>0</v>
      </c>
      <c r="N7" s="205">
        <v>2</v>
      </c>
      <c r="O7" s="206">
        <v>2</v>
      </c>
      <c r="P7" s="206">
        <v>3</v>
      </c>
      <c r="Q7" s="206">
        <v>4</v>
      </c>
      <c r="R7" s="206">
        <v>5</v>
      </c>
      <c r="S7" s="207">
        <v>1</v>
      </c>
    </row>
    <row r="8" spans="1:53" ht="30" customHeight="1" x14ac:dyDescent="0.25">
      <c r="B8" s="33" t="str">
        <f>'MMAT Ref'!AB6</f>
        <v>A.4</v>
      </c>
      <c r="C8" s="33" t="str">
        <f t="shared" ca="1" si="0"/>
        <v>Identify target environments</v>
      </c>
      <c r="D8" s="33" t="str">
        <f t="shared" ca="1" si="1"/>
        <v>Step 4 - Identify target environments</v>
      </c>
      <c r="E8" s="23">
        <f>F8</f>
        <v>2</v>
      </c>
      <c r="F8" s="211">
        <f t="shared" si="2"/>
        <v>2</v>
      </c>
      <c r="L8" s="49" t="b">
        <v>0</v>
      </c>
      <c r="N8" s="205">
        <v>2</v>
      </c>
      <c r="O8" s="206">
        <v>2</v>
      </c>
      <c r="P8" s="206">
        <v>3</v>
      </c>
      <c r="Q8" s="206">
        <v>4</v>
      </c>
      <c r="R8" s="206">
        <v>5</v>
      </c>
      <c r="S8" s="207">
        <v>1</v>
      </c>
    </row>
    <row r="9" spans="1:53" ht="30" customHeight="1" x14ac:dyDescent="0.25">
      <c r="A9" s="7"/>
      <c r="B9" s="8" t="str">
        <f>'MMAT Ref'!AB7</f>
        <v>A.5</v>
      </c>
      <c r="C9" s="8" t="str">
        <f t="shared" ca="1" si="0"/>
        <v>Define the purpose of the penetration tests</v>
      </c>
      <c r="D9" s="8" t="str">
        <f t="shared" ca="1" si="1"/>
        <v>Step 5 - Define the purpose of the penetration tests</v>
      </c>
      <c r="E9" s="23">
        <f>F9</f>
        <v>2</v>
      </c>
      <c r="F9" s="211">
        <f t="shared" ref="F9" si="3">IF(L$3,N9,IF(L$4,O9,IF(L$5,P9,IF(L$6,Q9,IF(L$7,R9,IF(L$8,S9))))))</f>
        <v>2</v>
      </c>
      <c r="H9" s="85"/>
      <c r="L9" s="49"/>
      <c r="N9" s="205">
        <v>2</v>
      </c>
      <c r="O9" s="206">
        <v>2</v>
      </c>
      <c r="P9" s="206">
        <v>3</v>
      </c>
      <c r="Q9" s="206">
        <v>4</v>
      </c>
      <c r="R9" s="206">
        <v>5</v>
      </c>
      <c r="S9" s="207">
        <v>1</v>
      </c>
      <c r="Y9" s="13"/>
      <c r="Z9" s="13"/>
      <c r="AA9" s="13"/>
      <c r="AB9" s="13"/>
      <c r="AC9" s="13"/>
      <c r="AD9" s="13"/>
      <c r="AE9" s="13"/>
      <c r="AF9" s="13"/>
      <c r="AG9" s="13"/>
      <c r="AH9" s="13"/>
      <c r="AI9" s="13"/>
      <c r="AJ9" s="13"/>
      <c r="AK9" s="13"/>
    </row>
    <row r="10" spans="1:53" ht="30" customHeight="1" x14ac:dyDescent="0.25">
      <c r="B10" s="32" t="str">
        <f>'MMAT Ref'!AB8</f>
        <v>A.6</v>
      </c>
      <c r="C10" s="32" t="str">
        <f t="shared" ca="1" si="0"/>
        <v>Produce requirements specifications</v>
      </c>
      <c r="D10" s="32" t="str">
        <f t="shared" ca="1" si="1"/>
        <v>Step 6 - Produce requirements specifications</v>
      </c>
      <c r="E10" s="23">
        <f t="shared" ref="E10:E13" si="4">F10</f>
        <v>2</v>
      </c>
      <c r="F10" s="211">
        <f t="shared" ref="F10:F14" si="5">IF(L$3,N10,IF(L$4,O10,IF(L$5,P10,IF(L$6,Q10,IF(L$7,R10,IF(L$8,S10))))))</f>
        <v>2</v>
      </c>
      <c r="N10" s="205">
        <v>2</v>
      </c>
      <c r="O10" s="206">
        <v>2</v>
      </c>
      <c r="P10" s="206">
        <v>3</v>
      </c>
      <c r="Q10" s="206">
        <v>4</v>
      </c>
      <c r="R10" s="206">
        <v>5</v>
      </c>
      <c r="S10" s="207">
        <v>1</v>
      </c>
      <c r="Y10" s="13"/>
      <c r="Z10" s="13"/>
      <c r="AA10" s="13"/>
      <c r="AB10" s="13"/>
      <c r="AC10" s="13"/>
      <c r="AD10" s="13"/>
      <c r="AE10" s="13"/>
      <c r="AF10" s="13"/>
      <c r="AG10" s="13"/>
      <c r="AH10" s="13"/>
      <c r="AI10" s="13"/>
      <c r="AJ10" s="13"/>
      <c r="AK10" s="13"/>
    </row>
    <row r="11" spans="1:53" ht="30" customHeight="1" x14ac:dyDescent="0.25">
      <c r="B11" s="8" t="str">
        <f>'MMAT Ref'!AB9</f>
        <v>A.7</v>
      </c>
      <c r="C11" s="8" t="str">
        <f t="shared" ca="1" si="0"/>
        <v>Select suitable suppliers</v>
      </c>
      <c r="D11" s="32" t="str">
        <f t="shared" ca="1" si="1"/>
        <v>Step 7 - Select suitable suppliers</v>
      </c>
      <c r="E11" s="23">
        <f t="shared" si="4"/>
        <v>2</v>
      </c>
      <c r="F11" s="211">
        <f t="shared" si="5"/>
        <v>2</v>
      </c>
      <c r="N11" s="205">
        <v>2</v>
      </c>
      <c r="O11" s="206">
        <v>2</v>
      </c>
      <c r="P11" s="206">
        <v>3</v>
      </c>
      <c r="Q11" s="206">
        <v>4</v>
      </c>
      <c r="R11" s="206">
        <v>5</v>
      </c>
      <c r="S11" s="207">
        <v>1</v>
      </c>
    </row>
    <row r="12" spans="1:53" ht="30" customHeight="1" x14ac:dyDescent="0.25">
      <c r="B12" s="156" t="str">
        <f>'MMAT Ref'!AB10</f>
        <v>B</v>
      </c>
      <c r="C12" s="156" t="str">
        <f t="shared" ca="1" si="0"/>
        <v>Testing</v>
      </c>
      <c r="D12" s="91" t="str">
        <f t="shared" ca="1" si="1"/>
        <v>Stage B - Testing</v>
      </c>
      <c r="E12" s="92"/>
      <c r="F12" s="170"/>
      <c r="N12" s="172"/>
      <c r="O12" s="172"/>
      <c r="P12" s="172"/>
      <c r="Q12" s="172"/>
      <c r="R12" s="172"/>
      <c r="S12" s="172"/>
    </row>
    <row r="13" spans="1:53" ht="30" customHeight="1" x14ac:dyDescent="0.25">
      <c r="B13" s="8" t="str">
        <f>'MMAT Ref'!AB11</f>
        <v>B.1</v>
      </c>
      <c r="C13" s="8" t="str">
        <f t="shared" ca="1" si="0"/>
        <v>Agree testing style and type</v>
      </c>
      <c r="D13" s="8" t="str">
        <f t="shared" ca="1" si="1"/>
        <v>Step 1 - Agree testing style and type</v>
      </c>
      <c r="E13" s="23">
        <f t="shared" si="4"/>
        <v>2</v>
      </c>
      <c r="F13" s="211">
        <f t="shared" si="5"/>
        <v>2</v>
      </c>
      <c r="N13" s="205">
        <v>2</v>
      </c>
      <c r="O13" s="206">
        <v>2</v>
      </c>
      <c r="P13" s="206">
        <v>3</v>
      </c>
      <c r="Q13" s="206">
        <v>4</v>
      </c>
      <c r="R13" s="206">
        <v>5</v>
      </c>
      <c r="S13" s="207">
        <v>1</v>
      </c>
    </row>
    <row r="14" spans="1:53" ht="30" customHeight="1" x14ac:dyDescent="0.25">
      <c r="A14" s="7"/>
      <c r="B14" s="8" t="str">
        <f>'MMAT Ref'!AB12</f>
        <v>B.2</v>
      </c>
      <c r="C14" s="8" t="str">
        <f t="shared" ca="1" si="0"/>
        <v>Identify testing constraints</v>
      </c>
      <c r="D14" s="8" t="str">
        <f t="shared" ca="1" si="1"/>
        <v>Step 2 - Identify testing constraints</v>
      </c>
      <c r="E14" s="23">
        <f>F14</f>
        <v>2</v>
      </c>
      <c r="F14" s="211">
        <f t="shared" si="5"/>
        <v>2</v>
      </c>
      <c r="H14" s="85"/>
      <c r="L14" s="49"/>
      <c r="N14" s="205">
        <v>2</v>
      </c>
      <c r="O14" s="206">
        <v>2</v>
      </c>
      <c r="P14" s="206">
        <v>3</v>
      </c>
      <c r="Q14" s="206">
        <v>4</v>
      </c>
      <c r="R14" s="206">
        <v>5</v>
      </c>
      <c r="S14" s="207">
        <v>1</v>
      </c>
      <c r="Y14" s="13"/>
      <c r="Z14" s="13"/>
      <c r="AA14" s="13"/>
      <c r="AB14" s="13"/>
      <c r="AC14" s="13"/>
      <c r="AD14" s="13"/>
      <c r="AE14" s="13"/>
      <c r="AF14" s="13"/>
      <c r="AG14" s="13"/>
      <c r="AH14" s="13"/>
      <c r="AI14" s="13"/>
      <c r="AJ14" s="13"/>
      <c r="AK14" s="13"/>
    </row>
    <row r="15" spans="1:53" ht="30" customHeight="1" x14ac:dyDescent="0.25">
      <c r="B15" s="8" t="str">
        <f>'MMAT Ref'!AB13</f>
        <v>B.3</v>
      </c>
      <c r="C15" s="8" t="str">
        <f t="shared" ca="1" si="0"/>
        <v>Produce scope statements</v>
      </c>
      <c r="D15" s="8" t="str">
        <f t="shared" ca="1" si="1"/>
        <v>Step 3 - Produce scope statements</v>
      </c>
      <c r="E15" s="23">
        <f>F15</f>
        <v>2</v>
      </c>
      <c r="F15" s="211">
        <f t="shared" ref="F15" si="6">IF(L$3,N15,IF(L$4,O15,IF(L$5,P15,IF(L$6,Q15,IF(L$7,R15,IF(L$8,S15))))))</f>
        <v>2</v>
      </c>
      <c r="N15" s="205">
        <v>2</v>
      </c>
      <c r="O15" s="206">
        <v>2</v>
      </c>
      <c r="P15" s="206">
        <v>3</v>
      </c>
      <c r="Q15" s="206">
        <v>4</v>
      </c>
      <c r="R15" s="206">
        <v>5</v>
      </c>
      <c r="S15" s="207">
        <v>1</v>
      </c>
      <c r="Y15" s="13"/>
      <c r="Z15" s="13"/>
      <c r="AA15" s="13"/>
      <c r="AB15" s="13"/>
      <c r="AC15" s="13"/>
      <c r="AD15" s="13"/>
      <c r="AE15" s="13"/>
      <c r="AF15" s="13"/>
      <c r="AG15" s="13"/>
      <c r="AH15" s="13"/>
      <c r="AI15" s="13"/>
      <c r="AJ15" s="13"/>
      <c r="AK15" s="13"/>
    </row>
    <row r="16" spans="1:53" ht="30" customHeight="1" x14ac:dyDescent="0.25">
      <c r="B16" s="8" t="str">
        <f>'MMAT Ref'!AB14</f>
        <v>B.4</v>
      </c>
      <c r="C16" s="8" t="str">
        <f t="shared" ca="1" si="0"/>
        <v>Establish a management assurance framework</v>
      </c>
      <c r="D16" s="8" t="str">
        <f t="shared" ca="1" si="1"/>
        <v>Step 4 - Establish a management assurance framework</v>
      </c>
      <c r="E16" s="23">
        <f t="shared" ref="E16:E21" si="7">F16</f>
        <v>2</v>
      </c>
      <c r="F16" s="211">
        <f t="shared" ref="F16:F21" si="8">IF(L$3,N16,IF(L$4,O16,IF(L$5,P16,IF(L$6,Q16,IF(L$7,R16,IF(L$8,S16))))))</f>
        <v>2</v>
      </c>
      <c r="N16" s="205">
        <v>2</v>
      </c>
      <c r="O16" s="206">
        <v>2</v>
      </c>
      <c r="P16" s="206">
        <v>3</v>
      </c>
      <c r="Q16" s="206">
        <v>4</v>
      </c>
      <c r="R16" s="206">
        <v>5</v>
      </c>
      <c r="S16" s="207">
        <v>1</v>
      </c>
    </row>
    <row r="17" spans="1:37" ht="30" customHeight="1" x14ac:dyDescent="0.25">
      <c r="B17" s="8" t="str">
        <f>'MMAT Ref'!AB15</f>
        <v>B.5</v>
      </c>
      <c r="C17" s="8" t="str">
        <f t="shared" ca="1" si="0"/>
        <v>Implement management control processes</v>
      </c>
      <c r="D17" s="8" t="str">
        <f t="shared" ca="1" si="1"/>
        <v>Step 5 - Implement management control processes</v>
      </c>
      <c r="E17" s="23">
        <f t="shared" si="7"/>
        <v>2</v>
      </c>
      <c r="F17" s="211">
        <f t="shared" si="8"/>
        <v>2</v>
      </c>
      <c r="N17" s="205">
        <v>2</v>
      </c>
      <c r="O17" s="206">
        <v>2</v>
      </c>
      <c r="P17" s="206">
        <v>3</v>
      </c>
      <c r="Q17" s="206">
        <v>4</v>
      </c>
      <c r="R17" s="206">
        <v>5</v>
      </c>
      <c r="S17" s="207">
        <v>1</v>
      </c>
      <c r="Y17" s="13"/>
      <c r="Z17" s="13"/>
      <c r="AA17" s="13"/>
      <c r="AB17" s="13"/>
      <c r="AC17" s="13"/>
      <c r="AD17" s="13"/>
      <c r="AE17" s="13"/>
      <c r="AF17" s="13"/>
      <c r="AG17" s="13"/>
      <c r="AH17" s="13"/>
      <c r="AI17" s="13"/>
      <c r="AJ17" s="13"/>
      <c r="AK17" s="13"/>
    </row>
    <row r="18" spans="1:37" ht="30" customHeight="1" x14ac:dyDescent="0.25">
      <c r="B18" s="8" t="str">
        <f>'MMAT Ref'!AB16</f>
        <v>B.6</v>
      </c>
      <c r="C18" s="8" t="str">
        <f t="shared" ca="1" si="0"/>
        <v>Use an effective testing methodology</v>
      </c>
      <c r="D18" s="8" t="str">
        <f t="shared" ca="1" si="1"/>
        <v>Step 6 - Use an effective testing methodology</v>
      </c>
      <c r="E18" s="23">
        <f t="shared" si="7"/>
        <v>2</v>
      </c>
      <c r="F18" s="211">
        <f t="shared" si="8"/>
        <v>2</v>
      </c>
      <c r="N18" s="205">
        <v>2</v>
      </c>
      <c r="O18" s="206">
        <v>2</v>
      </c>
      <c r="P18" s="206">
        <v>3</v>
      </c>
      <c r="Q18" s="206">
        <v>4</v>
      </c>
      <c r="R18" s="206">
        <v>5</v>
      </c>
      <c r="S18" s="207">
        <v>1</v>
      </c>
      <c r="Y18" s="13"/>
      <c r="Z18" s="13"/>
      <c r="AA18" s="13"/>
      <c r="AB18" s="13"/>
      <c r="AC18" s="13"/>
      <c r="AD18" s="13"/>
      <c r="AE18" s="13"/>
      <c r="AF18" s="13"/>
      <c r="AG18" s="13"/>
      <c r="AH18" s="13"/>
      <c r="AI18" s="13"/>
      <c r="AJ18" s="13"/>
      <c r="AK18" s="13"/>
    </row>
    <row r="19" spans="1:37" ht="30" customHeight="1" x14ac:dyDescent="0.25">
      <c r="A19" s="7"/>
      <c r="B19" s="8" t="str">
        <f>'MMAT Ref'!AB17</f>
        <v>B.7</v>
      </c>
      <c r="C19" s="8" t="str">
        <f t="shared" ca="1" si="0"/>
        <v>Conduct sufficient research and planning</v>
      </c>
      <c r="D19" s="8" t="str">
        <f t="shared" ca="1" si="1"/>
        <v>Step 7 - Conduct sufficient research and planning</v>
      </c>
      <c r="E19" s="23">
        <f t="shared" si="7"/>
        <v>2</v>
      </c>
      <c r="F19" s="211">
        <f t="shared" si="8"/>
        <v>2</v>
      </c>
      <c r="H19" s="85"/>
      <c r="L19" s="49"/>
      <c r="N19" s="205">
        <v>2</v>
      </c>
      <c r="O19" s="206">
        <v>2</v>
      </c>
      <c r="P19" s="206">
        <v>3</v>
      </c>
      <c r="Q19" s="206">
        <v>4</v>
      </c>
      <c r="R19" s="206">
        <v>5</v>
      </c>
      <c r="S19" s="207">
        <v>1</v>
      </c>
      <c r="Y19" s="13"/>
      <c r="Z19" s="13"/>
      <c r="AA19" s="13"/>
      <c r="AB19" s="13"/>
      <c r="AC19" s="13"/>
      <c r="AD19" s="13"/>
      <c r="AE19" s="13"/>
      <c r="AF19" s="13"/>
      <c r="AG19" s="13"/>
      <c r="AH19" s="13"/>
      <c r="AI19" s="13"/>
      <c r="AJ19" s="13"/>
      <c r="AK19" s="13"/>
    </row>
    <row r="20" spans="1:37" ht="30" customHeight="1" x14ac:dyDescent="0.25">
      <c r="B20" s="8" t="str">
        <f>'MMAT Ref'!AB18</f>
        <v>B.8</v>
      </c>
      <c r="C20" s="8" t="str">
        <f t="shared" ca="1" si="0"/>
        <v>Identify and exploit vulnerabilities</v>
      </c>
      <c r="D20" s="8" t="str">
        <f t="shared" ca="1" si="1"/>
        <v>Step 8 - Identify and exploit vulnerabilities</v>
      </c>
      <c r="E20" s="23">
        <f t="shared" si="7"/>
        <v>2</v>
      </c>
      <c r="F20" s="211">
        <f t="shared" si="8"/>
        <v>2</v>
      </c>
      <c r="N20" s="205">
        <v>2</v>
      </c>
      <c r="O20" s="206">
        <v>2</v>
      </c>
      <c r="P20" s="206">
        <v>3</v>
      </c>
      <c r="Q20" s="206">
        <v>4</v>
      </c>
      <c r="R20" s="206">
        <v>5</v>
      </c>
      <c r="S20" s="207">
        <v>1</v>
      </c>
      <c r="Y20" s="13"/>
      <c r="Z20" s="13"/>
      <c r="AA20" s="13"/>
      <c r="AB20" s="13"/>
      <c r="AC20" s="13"/>
      <c r="AD20" s="13"/>
      <c r="AE20" s="13"/>
      <c r="AF20" s="13"/>
      <c r="AG20" s="13"/>
      <c r="AH20" s="13"/>
      <c r="AI20" s="13"/>
      <c r="AJ20" s="13"/>
      <c r="AK20" s="13"/>
    </row>
    <row r="21" spans="1:37" ht="30" customHeight="1" x14ac:dyDescent="0.25">
      <c r="B21" s="8" t="str">
        <f>'MMAT Ref'!AB19</f>
        <v>B.9</v>
      </c>
      <c r="C21" s="8" t="str">
        <f t="shared" ca="1" si="0"/>
        <v>Report key findings</v>
      </c>
      <c r="D21" s="8" t="str">
        <f t="shared" ca="1" si="1"/>
        <v>Step 9 - Report key findings</v>
      </c>
      <c r="E21" s="23">
        <f t="shared" si="7"/>
        <v>2</v>
      </c>
      <c r="F21" s="211">
        <f t="shared" si="8"/>
        <v>2</v>
      </c>
      <c r="N21" s="205">
        <v>2</v>
      </c>
      <c r="O21" s="206">
        <v>2</v>
      </c>
      <c r="P21" s="206">
        <v>3</v>
      </c>
      <c r="Q21" s="206">
        <v>4</v>
      </c>
      <c r="R21" s="206">
        <v>5</v>
      </c>
      <c r="S21" s="207">
        <v>1</v>
      </c>
      <c r="Y21" s="13"/>
      <c r="Z21" s="13"/>
      <c r="AA21" s="13"/>
      <c r="AB21" s="13"/>
      <c r="AC21" s="13"/>
      <c r="AD21" s="13"/>
      <c r="AE21" s="13"/>
      <c r="AF21" s="13"/>
      <c r="AG21" s="13"/>
      <c r="AH21" s="13"/>
      <c r="AI21" s="13"/>
      <c r="AJ21" s="13"/>
      <c r="AK21" s="13"/>
    </row>
    <row r="22" spans="1:37" ht="30" customHeight="1" x14ac:dyDescent="0.25">
      <c r="B22" s="156" t="str">
        <f>'MMAT Ref'!AB20</f>
        <v>C</v>
      </c>
      <c r="C22" s="156" t="str">
        <f t="shared" ca="1" si="0"/>
        <v>Follow up</v>
      </c>
      <c r="D22" s="91" t="str">
        <f t="shared" ca="1" si="1"/>
        <v>Stage C - Follow up</v>
      </c>
      <c r="E22" s="92"/>
      <c r="F22" s="170"/>
      <c r="N22" s="172"/>
      <c r="O22" s="172"/>
      <c r="P22" s="172"/>
      <c r="Q22" s="172"/>
      <c r="R22" s="172"/>
      <c r="S22" s="172"/>
      <c r="Y22" s="13"/>
      <c r="Z22" s="13"/>
      <c r="AA22" s="13"/>
      <c r="AB22" s="13"/>
      <c r="AC22" s="13"/>
      <c r="AD22" s="13"/>
      <c r="AE22" s="13"/>
      <c r="AF22" s="13"/>
      <c r="AG22" s="13"/>
      <c r="AH22" s="13"/>
      <c r="AI22" s="13"/>
      <c r="AJ22" s="13"/>
      <c r="AK22" s="13"/>
    </row>
    <row r="23" spans="1:37" ht="30" customHeight="1" x14ac:dyDescent="0.25">
      <c r="B23" s="8" t="str">
        <f>'MMAT Ref'!AB21</f>
        <v>C.1</v>
      </c>
      <c r="C23" s="8" t="str">
        <f t="shared" ca="1" si="0"/>
        <v>Remediate weaknesses</v>
      </c>
      <c r="D23" s="8" t="str">
        <f t="shared" ca="1" si="1"/>
        <v>Step 1 - Remediate weaknesses</v>
      </c>
      <c r="E23" s="23">
        <f t="shared" ref="E23:E28" si="9">F23</f>
        <v>2</v>
      </c>
      <c r="F23" s="211">
        <f t="shared" ref="F23:F28" si="10">IF(L$3,N23,IF(L$4,O23,IF(L$5,P23,IF(L$6,Q23,IF(L$7,R23,IF(L$8,S23))))))</f>
        <v>2</v>
      </c>
      <c r="N23" s="205">
        <v>2</v>
      </c>
      <c r="O23" s="206">
        <v>2</v>
      </c>
      <c r="P23" s="206">
        <v>3</v>
      </c>
      <c r="Q23" s="206">
        <v>4</v>
      </c>
      <c r="R23" s="206">
        <v>5</v>
      </c>
      <c r="S23" s="207">
        <v>1</v>
      </c>
      <c r="Y23" s="13"/>
      <c r="Z23" s="13"/>
      <c r="AA23" s="13"/>
      <c r="AB23" s="13"/>
      <c r="AC23" s="13"/>
      <c r="AD23" s="13"/>
      <c r="AE23" s="13"/>
      <c r="AF23" s="13"/>
      <c r="AG23" s="13"/>
      <c r="AH23" s="13"/>
      <c r="AI23" s="13"/>
      <c r="AJ23" s="13"/>
      <c r="AK23" s="13"/>
    </row>
    <row r="24" spans="1:37" ht="30" customHeight="1" x14ac:dyDescent="0.25">
      <c r="B24" s="8" t="str">
        <f>'MMAT Ref'!AB22</f>
        <v>C.2</v>
      </c>
      <c r="C24" s="8" t="str">
        <f t="shared" ca="1" si="0"/>
        <v>Address root causes of weaknesses</v>
      </c>
      <c r="D24" s="8" t="str">
        <f t="shared" ca="1" si="1"/>
        <v>Step 2 - Address root causes of weaknesses</v>
      </c>
      <c r="E24" s="23">
        <f t="shared" si="9"/>
        <v>2</v>
      </c>
      <c r="F24" s="211">
        <f t="shared" si="10"/>
        <v>2</v>
      </c>
      <c r="N24" s="205">
        <v>2</v>
      </c>
      <c r="O24" s="206">
        <v>2</v>
      </c>
      <c r="P24" s="206">
        <v>3</v>
      </c>
      <c r="Q24" s="206">
        <v>4</v>
      </c>
      <c r="R24" s="206">
        <v>5</v>
      </c>
      <c r="S24" s="207">
        <v>1</v>
      </c>
      <c r="Y24" s="13"/>
      <c r="Z24" s="13"/>
      <c r="AA24" s="13"/>
      <c r="AB24" s="13"/>
      <c r="AC24" s="13"/>
      <c r="AD24" s="13"/>
      <c r="AE24" s="13"/>
      <c r="AF24" s="13"/>
      <c r="AG24" s="13"/>
      <c r="AH24" s="13"/>
      <c r="AI24" s="13"/>
      <c r="AJ24" s="13"/>
      <c r="AK24" s="13"/>
    </row>
    <row r="25" spans="1:37" ht="30" customHeight="1" x14ac:dyDescent="0.25">
      <c r="B25" s="8" t="str">
        <f>'MMAT Ref'!AB23</f>
        <v>C.3</v>
      </c>
      <c r="C25" s="8" t="str">
        <f t="shared" ca="1" si="0"/>
        <v>Initiate improvement programme</v>
      </c>
      <c r="D25" s="8" t="str">
        <f t="shared" ca="1" si="1"/>
        <v>Step 3 - Initiate improvement programme</v>
      </c>
      <c r="E25" s="23">
        <f t="shared" si="9"/>
        <v>2</v>
      </c>
      <c r="F25" s="211">
        <f t="shared" si="10"/>
        <v>2</v>
      </c>
      <c r="N25" s="205">
        <v>2</v>
      </c>
      <c r="O25" s="206">
        <v>2</v>
      </c>
      <c r="P25" s="206">
        <v>3</v>
      </c>
      <c r="Q25" s="206">
        <v>4</v>
      </c>
      <c r="R25" s="206">
        <v>5</v>
      </c>
      <c r="S25" s="207">
        <v>1</v>
      </c>
      <c r="Y25" s="13"/>
      <c r="Z25" s="13"/>
      <c r="AA25" s="13"/>
      <c r="AB25" s="13"/>
      <c r="AC25" s="13"/>
      <c r="AD25" s="13"/>
      <c r="AE25" s="13"/>
      <c r="AF25" s="13"/>
      <c r="AG25" s="13"/>
      <c r="AH25" s="13"/>
      <c r="AI25" s="13"/>
      <c r="AJ25" s="13"/>
      <c r="AK25" s="13"/>
    </row>
    <row r="26" spans="1:37" ht="30" customHeight="1" x14ac:dyDescent="0.25">
      <c r="A26" s="7"/>
      <c r="B26" s="8" t="str">
        <f>'MMAT Ref'!AB24</f>
        <v>C.4</v>
      </c>
      <c r="C26" s="8" t="str">
        <f t="shared" ca="1" si="0"/>
        <v>Evaluate penetration testing effectiveness</v>
      </c>
      <c r="D26" s="8" t="str">
        <f t="shared" ca="1" si="1"/>
        <v>Step 4 - Evaluate penetration testing effectiveness</v>
      </c>
      <c r="E26" s="23">
        <f t="shared" si="9"/>
        <v>2</v>
      </c>
      <c r="F26" s="211">
        <f t="shared" si="10"/>
        <v>2</v>
      </c>
      <c r="H26" s="85"/>
      <c r="L26" s="49"/>
      <c r="N26" s="205">
        <v>2</v>
      </c>
      <c r="O26" s="206">
        <v>2</v>
      </c>
      <c r="P26" s="206">
        <v>3</v>
      </c>
      <c r="Q26" s="206">
        <v>4</v>
      </c>
      <c r="R26" s="206">
        <v>5</v>
      </c>
      <c r="S26" s="207">
        <v>1</v>
      </c>
      <c r="Y26" s="13"/>
      <c r="Z26" s="13"/>
      <c r="AA26" s="13"/>
      <c r="AB26" s="13"/>
      <c r="AC26" s="13"/>
      <c r="AD26" s="13"/>
      <c r="AE26" s="13"/>
      <c r="AF26" s="13"/>
      <c r="AG26" s="13"/>
      <c r="AH26" s="13"/>
      <c r="AI26" s="13"/>
      <c r="AJ26" s="13"/>
      <c r="AK26" s="13"/>
    </row>
    <row r="27" spans="1:37" ht="30" customHeight="1" x14ac:dyDescent="0.25">
      <c r="B27" s="8" t="str">
        <f>'MMAT Ref'!AB25</f>
        <v>C.5</v>
      </c>
      <c r="C27" s="8" t="str">
        <f t="shared" ca="1" si="0"/>
        <v>Build on lessons learned</v>
      </c>
      <c r="D27" s="8" t="str">
        <f t="shared" ca="1" si="1"/>
        <v>Step 5 - Build on lessons learned</v>
      </c>
      <c r="E27" s="23">
        <f t="shared" si="9"/>
        <v>2</v>
      </c>
      <c r="F27" s="211">
        <f t="shared" si="10"/>
        <v>2</v>
      </c>
      <c r="N27" s="205">
        <v>2</v>
      </c>
      <c r="O27" s="206">
        <v>2</v>
      </c>
      <c r="P27" s="206">
        <v>3</v>
      </c>
      <c r="Q27" s="206">
        <v>4</v>
      </c>
      <c r="R27" s="206">
        <v>5</v>
      </c>
      <c r="S27" s="207">
        <v>1</v>
      </c>
      <c r="Y27" s="13"/>
      <c r="Z27" s="13"/>
      <c r="AA27" s="13"/>
      <c r="AB27" s="13"/>
      <c r="AC27" s="13"/>
      <c r="AD27" s="13"/>
      <c r="AE27" s="13"/>
      <c r="AF27" s="13"/>
      <c r="AG27" s="13"/>
      <c r="AH27" s="13"/>
      <c r="AI27" s="13"/>
      <c r="AJ27" s="13"/>
      <c r="AK27" s="13"/>
    </row>
    <row r="28" spans="1:37" ht="30" customHeight="1" x14ac:dyDescent="0.25">
      <c r="B28" s="8" t="str">
        <f>'MMAT Ref'!AB26</f>
        <v>C.6</v>
      </c>
      <c r="C28" s="8" t="str">
        <f t="shared" ca="1" si="0"/>
        <v>Create and monitor action plans</v>
      </c>
      <c r="D28" s="8" t="str">
        <f t="shared" ca="1" si="1"/>
        <v>Step 6 - Create and monitor action plans</v>
      </c>
      <c r="E28" s="24">
        <f t="shared" si="9"/>
        <v>2</v>
      </c>
      <c r="F28" s="212">
        <f t="shared" si="10"/>
        <v>2</v>
      </c>
      <c r="N28" s="208">
        <v>2</v>
      </c>
      <c r="O28" s="209">
        <v>2</v>
      </c>
      <c r="P28" s="209">
        <v>3</v>
      </c>
      <c r="Q28" s="209">
        <v>4</v>
      </c>
      <c r="R28" s="209">
        <v>5</v>
      </c>
      <c r="S28" s="210">
        <v>1</v>
      </c>
      <c r="Y28" s="13"/>
      <c r="Z28" s="13"/>
      <c r="AA28" s="13"/>
      <c r="AB28" s="13"/>
      <c r="AC28" s="13"/>
      <c r="AD28" s="13"/>
      <c r="AE28" s="13"/>
      <c r="AF28" s="13"/>
      <c r="AG28" s="13"/>
      <c r="AH28" s="13"/>
      <c r="AI28" s="13"/>
      <c r="AJ28" s="13"/>
      <c r="AK28" s="13"/>
    </row>
    <row r="29" spans="1:37" ht="30" customHeight="1" x14ac:dyDescent="0.25">
      <c r="B29"/>
      <c r="C29"/>
      <c r="D29"/>
      <c r="E29"/>
      <c r="F29" s="21"/>
      <c r="N29"/>
      <c r="O29"/>
      <c r="R29"/>
      <c r="S29"/>
      <c r="T29"/>
      <c r="Y29" s="13"/>
      <c r="Z29" s="13"/>
      <c r="AA29" s="13"/>
      <c r="AB29" s="13"/>
      <c r="AC29" s="13"/>
      <c r="AD29" s="13"/>
      <c r="AE29" s="13"/>
      <c r="AF29" s="13"/>
      <c r="AG29" s="13"/>
      <c r="AH29" s="13"/>
      <c r="AI29" s="13"/>
      <c r="AJ29" s="13"/>
      <c r="AK29" s="13"/>
    </row>
    <row r="30" spans="1:37" ht="30" customHeight="1" x14ac:dyDescent="0.25">
      <c r="B30"/>
      <c r="C30"/>
      <c r="D30"/>
      <c r="E30"/>
      <c r="F30" s="21"/>
      <c r="N30"/>
      <c r="O30"/>
      <c r="R30"/>
      <c r="S30"/>
      <c r="T30"/>
      <c r="Y30" s="13"/>
      <c r="Z30" s="13"/>
      <c r="AA30" s="13"/>
      <c r="AB30" s="13"/>
      <c r="AC30" s="13"/>
      <c r="AD30" s="13"/>
      <c r="AE30" s="13"/>
      <c r="AF30" s="13"/>
      <c r="AG30" s="13"/>
      <c r="AH30" s="13"/>
      <c r="AI30" s="13"/>
      <c r="AJ30" s="13"/>
      <c r="AK30" s="13"/>
    </row>
    <row r="31" spans="1:37" ht="30" customHeight="1" x14ac:dyDescent="0.25">
      <c r="B31"/>
      <c r="C31"/>
      <c r="D31"/>
      <c r="E31"/>
      <c r="F31" s="21"/>
      <c r="N31"/>
      <c r="O31"/>
      <c r="R31"/>
      <c r="S31"/>
      <c r="T31"/>
      <c r="Y31" s="13"/>
      <c r="Z31" s="13"/>
      <c r="AA31" s="13"/>
      <c r="AB31" s="13"/>
      <c r="AC31" s="13"/>
      <c r="AD31" s="13"/>
      <c r="AE31" s="13"/>
      <c r="AF31" s="13"/>
      <c r="AG31" s="13"/>
      <c r="AH31" s="13"/>
      <c r="AI31" s="13"/>
      <c r="AJ31" s="13"/>
      <c r="AK31" s="13"/>
    </row>
    <row r="32" spans="1:37" ht="30" customHeight="1" x14ac:dyDescent="0.25">
      <c r="B32"/>
      <c r="C32"/>
      <c r="D32"/>
      <c r="E32"/>
      <c r="F32" s="21"/>
      <c r="N32"/>
      <c r="O32"/>
      <c r="R32"/>
      <c r="S32"/>
      <c r="T32"/>
      <c r="Y32" s="13"/>
      <c r="Z32" s="13"/>
      <c r="AA32" s="13"/>
      <c r="AB32" s="13"/>
      <c r="AC32" s="13"/>
      <c r="AD32" s="13"/>
      <c r="AE32" s="13"/>
      <c r="AF32" s="13"/>
      <c r="AG32" s="13"/>
      <c r="AH32" s="13"/>
      <c r="AI32" s="13"/>
      <c r="AJ32" s="13"/>
      <c r="AK32" s="13"/>
    </row>
    <row r="33" spans="2:20" x14ac:dyDescent="0.25">
      <c r="B33"/>
      <c r="C33"/>
      <c r="D33"/>
      <c r="E33"/>
      <c r="F33"/>
      <c r="N33"/>
      <c r="O33"/>
      <c r="R33"/>
      <c r="S33"/>
      <c r="T33"/>
    </row>
    <row r="34" spans="2:20" x14ac:dyDescent="0.25">
      <c r="B34"/>
      <c r="C34"/>
      <c r="D34"/>
      <c r="E34"/>
      <c r="F34"/>
      <c r="N34"/>
      <c r="O34"/>
      <c r="R34"/>
      <c r="S34"/>
      <c r="T34"/>
    </row>
    <row r="35" spans="2:20" x14ac:dyDescent="0.25">
      <c r="B35"/>
      <c r="C35"/>
      <c r="D35"/>
      <c r="E35"/>
      <c r="F35"/>
      <c r="N35"/>
      <c r="O35"/>
      <c r="R35"/>
      <c r="S35"/>
      <c r="T35"/>
    </row>
    <row r="36" spans="2:20" x14ac:dyDescent="0.25">
      <c r="B36"/>
      <c r="C36"/>
      <c r="D36"/>
      <c r="E36"/>
      <c r="F36"/>
      <c r="N36"/>
      <c r="O36"/>
      <c r="R36"/>
      <c r="S36"/>
      <c r="T36"/>
    </row>
    <row r="37" spans="2:20" x14ac:dyDescent="0.25">
      <c r="B37"/>
      <c r="C37"/>
      <c r="D37"/>
      <c r="E37"/>
      <c r="F37"/>
      <c r="N37"/>
      <c r="O37"/>
      <c r="R37"/>
      <c r="S37"/>
      <c r="T37"/>
    </row>
    <row r="38" spans="2:20" x14ac:dyDescent="0.25">
      <c r="B38"/>
      <c r="C38"/>
      <c r="D38"/>
      <c r="E38"/>
      <c r="F38"/>
      <c r="N38"/>
      <c r="O38"/>
      <c r="R38"/>
      <c r="S38"/>
      <c r="T38"/>
    </row>
    <row r="39" spans="2:20" x14ac:dyDescent="0.25">
      <c r="N39"/>
      <c r="O39"/>
      <c r="R39"/>
      <c r="S39"/>
      <c r="T39"/>
    </row>
    <row r="40" spans="2:20" x14ac:dyDescent="0.25">
      <c r="N40"/>
      <c r="O40"/>
      <c r="R40"/>
      <c r="S40"/>
      <c r="T40"/>
    </row>
  </sheetData>
  <sheetProtection algorithmName="SHA-512" hashValue="KZORZ6aMZZnV+Kxg+JsXNcERTisixXY0LXUPwSSSoqEIInkj+eU9RiAuvt/0Tw2ATr2W+O5hYcmWiE7c6AY/+g==" saltValue="C4DdcqAncYq6PWvLbVh6xQ==" spinCount="100000" sheet="1" objects="1" scenarios="1"/>
  <mergeCells count="4">
    <mergeCell ref="E2:F2"/>
    <mergeCell ref="N1:S1"/>
    <mergeCell ref="G1:J1"/>
    <mergeCell ref="H2:I4"/>
  </mergeCells>
  <conditionalFormatting sqref="E5">
    <cfRule type="dataBar" priority="22">
      <dataBar>
        <cfvo type="num" val="0"/>
        <cfvo type="num" val="5"/>
        <color theme="7" tint="0.79998168889431442"/>
      </dataBar>
      <extLst>
        <ext xmlns:x14="http://schemas.microsoft.com/office/spreadsheetml/2009/9/main" uri="{B025F937-C7B1-47D3-B67F-A62EFF666E3E}">
          <x14:id>{3A5EB843-3860-4A82-80B4-4C44A3877570}</x14:id>
        </ext>
      </extLst>
    </cfRule>
  </conditionalFormatting>
  <conditionalFormatting sqref="E3">
    <cfRule type="dataBar" priority="21">
      <dataBar>
        <cfvo type="num" val="0"/>
        <cfvo type="num" val="5"/>
        <color rgb="FF7D62A2"/>
      </dataBar>
      <extLst>
        <ext xmlns:x14="http://schemas.microsoft.com/office/spreadsheetml/2009/9/main" uri="{B025F937-C7B1-47D3-B67F-A62EFF666E3E}">
          <x14:id>{841CCB33-F29B-4E70-A417-B7C0567A3CB6}</x14:id>
        </ext>
      </extLst>
    </cfRule>
  </conditionalFormatting>
  <conditionalFormatting sqref="E10:E11 E13">
    <cfRule type="dataBar" priority="13">
      <dataBar>
        <cfvo type="num" val="0"/>
        <cfvo type="num" val="5"/>
        <color theme="7" tint="0.79998168889431442"/>
      </dataBar>
      <extLst>
        <ext xmlns:x14="http://schemas.microsoft.com/office/spreadsheetml/2009/9/main" uri="{B025F937-C7B1-47D3-B67F-A62EFF666E3E}">
          <x14:id>{51E0919E-7F74-433C-A908-6B5D8561F318}</x14:id>
        </ext>
      </extLst>
    </cfRule>
  </conditionalFormatting>
  <conditionalFormatting sqref="E6:E8">
    <cfRule type="dataBar" priority="14">
      <dataBar>
        <cfvo type="num" val="0"/>
        <cfvo type="num" val="5"/>
        <color theme="7" tint="0.79998168889431442"/>
      </dataBar>
      <extLst>
        <ext xmlns:x14="http://schemas.microsoft.com/office/spreadsheetml/2009/9/main" uri="{B025F937-C7B1-47D3-B67F-A62EFF666E3E}">
          <x14:id>{2CB805BE-E250-40DF-9896-EEFA6E14A72C}</x14:id>
        </ext>
      </extLst>
    </cfRule>
  </conditionalFormatting>
  <conditionalFormatting sqref="E14">
    <cfRule type="dataBar" priority="6">
      <dataBar>
        <cfvo type="num" val="0"/>
        <cfvo type="num" val="5"/>
        <color theme="7" tint="0.79998168889431442"/>
      </dataBar>
      <extLst>
        <ext xmlns:x14="http://schemas.microsoft.com/office/spreadsheetml/2009/9/main" uri="{B025F937-C7B1-47D3-B67F-A62EFF666E3E}">
          <x14:id>{28DF80AE-D220-4C68-9D09-A5D78D4EC86D}</x14:id>
        </ext>
      </extLst>
    </cfRule>
  </conditionalFormatting>
  <conditionalFormatting sqref="E16:E21">
    <cfRule type="dataBar" priority="5">
      <dataBar>
        <cfvo type="num" val="0"/>
        <cfvo type="num" val="5"/>
        <color theme="7" tint="0.79998168889431442"/>
      </dataBar>
      <extLst>
        <ext xmlns:x14="http://schemas.microsoft.com/office/spreadsheetml/2009/9/main" uri="{B025F937-C7B1-47D3-B67F-A62EFF666E3E}">
          <x14:id>{EA0D8366-A3EF-4941-845B-165AE688E306}</x14:id>
        </ext>
      </extLst>
    </cfRule>
  </conditionalFormatting>
  <conditionalFormatting sqref="E23:E28">
    <cfRule type="dataBar" priority="4">
      <dataBar>
        <cfvo type="num" val="0"/>
        <cfvo type="num" val="5"/>
        <color theme="7" tint="0.79998168889431442"/>
      </dataBar>
      <extLst>
        <ext xmlns:x14="http://schemas.microsoft.com/office/spreadsheetml/2009/9/main" uri="{B025F937-C7B1-47D3-B67F-A62EFF666E3E}">
          <x14:id>{EB10504F-417E-4D32-975C-6B007B0D88F9}</x14:id>
        </ext>
      </extLst>
    </cfRule>
  </conditionalFormatting>
  <conditionalFormatting sqref="E15">
    <cfRule type="dataBar" priority="2">
      <dataBar>
        <cfvo type="num" val="0"/>
        <cfvo type="num" val="5"/>
        <color theme="7" tint="0.79998168889431442"/>
      </dataBar>
      <extLst>
        <ext xmlns:x14="http://schemas.microsoft.com/office/spreadsheetml/2009/9/main" uri="{B025F937-C7B1-47D3-B67F-A62EFF666E3E}">
          <x14:id>{3937B26D-9772-4DFC-B3AD-DEFACC1C809A}</x14:id>
        </ext>
      </extLst>
    </cfRule>
  </conditionalFormatting>
  <conditionalFormatting sqref="E9">
    <cfRule type="dataBar" priority="1">
      <dataBar>
        <cfvo type="num" val="0"/>
        <cfvo type="num" val="5"/>
        <color theme="7" tint="0.79998168889431442"/>
      </dataBar>
      <extLst>
        <ext xmlns:x14="http://schemas.microsoft.com/office/spreadsheetml/2009/9/main" uri="{B025F937-C7B1-47D3-B67F-A62EFF666E3E}">
          <x14:id>{71F3FDF3-3DB9-43CD-A05F-28AF99C566FB}</x14:id>
        </ext>
      </extLst>
    </cfRule>
  </conditionalFormatting>
  <dataValidations count="1">
    <dataValidation type="decimal" allowBlank="1" showErrorMessage="1" errorTitle="Invalid target" error="Targets must be between 0 and 5" sqref="N23:S28 N5:S11 N13:S21" xr:uid="{00000000-0002-0000-0300-000000000000}">
      <formula1>0</formula1>
      <formula2>5</formula2>
    </dataValidation>
  </dataValidations>
  <pageMargins left="0.7" right="0.7" top="0.75" bottom="0.75" header="0.3" footer="0.3"/>
  <pageSetup paperSize="9" scale="68" fitToHeight="0" orientation="landscape" horizontalDpi="4294967293" r:id="rId1"/>
  <drawing r:id="rId2"/>
  <legacyDrawing r:id="rId3"/>
  <controls>
    <mc:AlternateContent xmlns:mc="http://schemas.openxmlformats.org/markup-compatibility/2006">
      <mc:Choice Requires="x14">
        <control shapeId="67597" r:id="rId4" name="OptionButton4">
          <controlPr defaultSize="0" autoFill="0" autoLine="0" linkedCell="L8" r:id="rId5">
            <anchor moveWithCells="1">
              <from>
                <xdr:col>7</xdr:col>
                <xdr:colOff>104775</xdr:colOff>
                <xdr:row>9</xdr:row>
                <xdr:rowOff>171450</xdr:rowOff>
              </from>
              <to>
                <xdr:col>8</xdr:col>
                <xdr:colOff>752475</xdr:colOff>
                <xdr:row>10</xdr:row>
                <xdr:rowOff>95250</xdr:rowOff>
              </to>
            </anchor>
          </controlPr>
        </control>
      </mc:Choice>
      <mc:Fallback>
        <control shapeId="67597" r:id="rId4" name="OptionButton4"/>
      </mc:Fallback>
    </mc:AlternateContent>
    <mc:AlternateContent xmlns:mc="http://schemas.openxmlformats.org/markup-compatibility/2006">
      <mc:Choice Requires="x14">
        <control shapeId="67596" r:id="rId6" name="OptionButton3">
          <controlPr defaultSize="0" autoFill="0" autoLine="0" linkedCell="L6" r:id="rId7">
            <anchor moveWithCells="1">
              <from>
                <xdr:col>7</xdr:col>
                <xdr:colOff>104775</xdr:colOff>
                <xdr:row>7</xdr:row>
                <xdr:rowOff>161925</xdr:rowOff>
              </from>
              <to>
                <xdr:col>8</xdr:col>
                <xdr:colOff>866775</xdr:colOff>
                <xdr:row>8</xdr:row>
                <xdr:rowOff>95250</xdr:rowOff>
              </to>
            </anchor>
          </controlPr>
        </control>
      </mc:Choice>
      <mc:Fallback>
        <control shapeId="67596" r:id="rId6" name="OptionButton3"/>
      </mc:Fallback>
    </mc:AlternateContent>
    <mc:AlternateContent xmlns:mc="http://schemas.openxmlformats.org/markup-compatibility/2006">
      <mc:Choice Requires="x14">
        <control shapeId="67595" r:id="rId8" name="OptionButton2">
          <controlPr defaultSize="0" autoFill="0" autoLine="0" linkedCell="L5" r:id="rId9">
            <anchor moveWithCells="1">
              <from>
                <xdr:col>7</xdr:col>
                <xdr:colOff>104775</xdr:colOff>
                <xdr:row>6</xdr:row>
                <xdr:rowOff>161925</xdr:rowOff>
              </from>
              <to>
                <xdr:col>8</xdr:col>
                <xdr:colOff>847725</xdr:colOff>
                <xdr:row>7</xdr:row>
                <xdr:rowOff>95250</xdr:rowOff>
              </to>
            </anchor>
          </controlPr>
        </control>
      </mc:Choice>
      <mc:Fallback>
        <control shapeId="67595" r:id="rId8" name="OptionButton2"/>
      </mc:Fallback>
    </mc:AlternateContent>
    <mc:AlternateContent xmlns:mc="http://schemas.openxmlformats.org/markup-compatibility/2006">
      <mc:Choice Requires="x14">
        <control shapeId="67594" r:id="rId10" name="OptionButton1">
          <controlPr defaultSize="0" autoFill="0" autoLine="0" linkedCell="L4" r:id="rId11">
            <anchor moveWithCells="1">
              <from>
                <xdr:col>7</xdr:col>
                <xdr:colOff>104775</xdr:colOff>
                <xdr:row>5</xdr:row>
                <xdr:rowOff>161925</xdr:rowOff>
              </from>
              <to>
                <xdr:col>8</xdr:col>
                <xdr:colOff>809625</xdr:colOff>
                <xdr:row>6</xdr:row>
                <xdr:rowOff>95250</xdr:rowOff>
              </to>
            </anchor>
          </controlPr>
        </control>
      </mc:Choice>
      <mc:Fallback>
        <control shapeId="67594" r:id="rId10" name="OptionButton1"/>
      </mc:Fallback>
    </mc:AlternateContent>
    <mc:AlternateContent xmlns:mc="http://schemas.openxmlformats.org/markup-compatibility/2006">
      <mc:Choice Requires="x14">
        <control shapeId="67599" r:id="rId12" name="OptionButton5">
          <controlPr defaultSize="0" autoFill="0" autoLine="0" linkedCell="L3" r:id="rId13">
            <anchor moveWithCells="1">
              <from>
                <xdr:col>7</xdr:col>
                <xdr:colOff>104775</xdr:colOff>
                <xdr:row>4</xdr:row>
                <xdr:rowOff>152400</xdr:rowOff>
              </from>
              <to>
                <xdr:col>8</xdr:col>
                <xdr:colOff>857250</xdr:colOff>
                <xdr:row>5</xdr:row>
                <xdr:rowOff>85725</xdr:rowOff>
              </to>
            </anchor>
          </controlPr>
        </control>
      </mc:Choice>
      <mc:Fallback>
        <control shapeId="67599" r:id="rId12" name="OptionButton5"/>
      </mc:Fallback>
    </mc:AlternateContent>
    <mc:AlternateContent xmlns:mc="http://schemas.openxmlformats.org/markup-compatibility/2006">
      <mc:Choice Requires="x14">
        <control shapeId="67600" r:id="rId14" name="OptionButton6">
          <controlPr defaultSize="0" autoFill="0" autoLine="0" linkedCell="L7" r:id="rId15">
            <anchor moveWithCells="1">
              <from>
                <xdr:col>7</xdr:col>
                <xdr:colOff>104775</xdr:colOff>
                <xdr:row>8</xdr:row>
                <xdr:rowOff>171450</xdr:rowOff>
              </from>
              <to>
                <xdr:col>8</xdr:col>
                <xdr:colOff>895350</xdr:colOff>
                <xdr:row>9</xdr:row>
                <xdr:rowOff>104775</xdr:rowOff>
              </to>
            </anchor>
          </controlPr>
        </control>
      </mc:Choice>
      <mc:Fallback>
        <control shapeId="67600" r:id="rId14" name="OptionButton6"/>
      </mc:Fallback>
    </mc:AlternateContent>
    <mc:AlternateContent xmlns:mc="http://schemas.openxmlformats.org/markup-compatibility/2006">
      <mc:Choice Requires="x14">
        <control shapeId="67593" r:id="rId16" name="Group Box 9">
          <controlPr defaultSize="0" autoFill="0" autoPict="0" altText="">
            <anchor moveWithCells="1">
              <from>
                <xdr:col>7</xdr:col>
                <xdr:colOff>9525</xdr:colOff>
                <xdr:row>4</xdr:row>
                <xdr:rowOff>19050</xdr:rowOff>
              </from>
              <to>
                <xdr:col>9</xdr:col>
                <xdr:colOff>57150</xdr:colOff>
                <xdr:row>10</xdr:row>
                <xdr:rowOff>238125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dataBar" id="{3A5EB843-3860-4A82-80B4-4C44A3877570}">
            <x14:dataBar minLength="0" maxLength="100" gradient="0">
              <x14:cfvo type="num">
                <xm:f>0</xm:f>
              </x14:cfvo>
              <x14:cfvo type="num">
                <xm:f>5</xm:f>
              </x14:cfvo>
              <x14:negativeFillColor rgb="FFFF0000"/>
              <x14:axisColor rgb="FF000000"/>
            </x14:dataBar>
          </x14:cfRule>
          <xm:sqref>E5</xm:sqref>
        </x14:conditionalFormatting>
        <x14:conditionalFormatting xmlns:xm="http://schemas.microsoft.com/office/excel/2006/main">
          <x14:cfRule type="dataBar" id="{841CCB33-F29B-4E70-A417-B7C0567A3CB6}">
            <x14:dataBar minLength="0" maxLength="100" gradient="0">
              <x14:cfvo type="num">
                <xm:f>0</xm:f>
              </x14:cfvo>
              <x14:cfvo type="num">
                <xm:f>5</xm:f>
              </x14:cfvo>
              <x14:negativeFillColor rgb="FFFF0000"/>
              <x14:axisColor rgb="FF000000"/>
            </x14:dataBar>
          </x14:cfRule>
          <xm:sqref>E3</xm:sqref>
        </x14:conditionalFormatting>
        <x14:conditionalFormatting xmlns:xm="http://schemas.microsoft.com/office/excel/2006/main">
          <x14:cfRule type="dataBar" id="{51E0919E-7F74-433C-A908-6B5D8561F318}">
            <x14:dataBar minLength="0" maxLength="100" gradient="0">
              <x14:cfvo type="num">
                <xm:f>0</xm:f>
              </x14:cfvo>
              <x14:cfvo type="num">
                <xm:f>5</xm:f>
              </x14:cfvo>
              <x14:negativeFillColor rgb="FFFF0000"/>
              <x14:axisColor rgb="FF000000"/>
            </x14:dataBar>
          </x14:cfRule>
          <xm:sqref>E10:E11 E13</xm:sqref>
        </x14:conditionalFormatting>
        <x14:conditionalFormatting xmlns:xm="http://schemas.microsoft.com/office/excel/2006/main">
          <x14:cfRule type="dataBar" id="{2CB805BE-E250-40DF-9896-EEFA6E14A72C}">
            <x14:dataBar minLength="0" maxLength="100" gradient="0">
              <x14:cfvo type="num">
                <xm:f>0</xm:f>
              </x14:cfvo>
              <x14:cfvo type="num">
                <xm:f>5</xm:f>
              </x14:cfvo>
              <x14:negativeFillColor rgb="FFFF0000"/>
              <x14:axisColor rgb="FF000000"/>
            </x14:dataBar>
          </x14:cfRule>
          <xm:sqref>E6:E8</xm:sqref>
        </x14:conditionalFormatting>
        <x14:conditionalFormatting xmlns:xm="http://schemas.microsoft.com/office/excel/2006/main">
          <x14:cfRule type="dataBar" id="{28DF80AE-D220-4C68-9D09-A5D78D4EC86D}">
            <x14:dataBar minLength="0" maxLength="100" gradient="0">
              <x14:cfvo type="num">
                <xm:f>0</xm:f>
              </x14:cfvo>
              <x14:cfvo type="num">
                <xm:f>5</xm:f>
              </x14:cfvo>
              <x14:negativeFillColor rgb="FFFF0000"/>
              <x14:axisColor rgb="FF000000"/>
            </x14:dataBar>
          </x14:cfRule>
          <xm:sqref>E14</xm:sqref>
        </x14:conditionalFormatting>
        <x14:conditionalFormatting xmlns:xm="http://schemas.microsoft.com/office/excel/2006/main">
          <x14:cfRule type="dataBar" id="{EA0D8366-A3EF-4941-845B-165AE688E306}">
            <x14:dataBar minLength="0" maxLength="100" gradient="0">
              <x14:cfvo type="num">
                <xm:f>0</xm:f>
              </x14:cfvo>
              <x14:cfvo type="num">
                <xm:f>5</xm:f>
              </x14:cfvo>
              <x14:negativeFillColor rgb="FFFF0000"/>
              <x14:axisColor rgb="FF000000"/>
            </x14:dataBar>
          </x14:cfRule>
          <xm:sqref>E16:E21</xm:sqref>
        </x14:conditionalFormatting>
        <x14:conditionalFormatting xmlns:xm="http://schemas.microsoft.com/office/excel/2006/main">
          <x14:cfRule type="dataBar" id="{EB10504F-417E-4D32-975C-6B007B0D88F9}">
            <x14:dataBar minLength="0" maxLength="100" gradient="0">
              <x14:cfvo type="num">
                <xm:f>0</xm:f>
              </x14:cfvo>
              <x14:cfvo type="num">
                <xm:f>5</xm:f>
              </x14:cfvo>
              <x14:negativeFillColor rgb="FFFF0000"/>
              <x14:axisColor rgb="FF000000"/>
            </x14:dataBar>
          </x14:cfRule>
          <xm:sqref>E23:E28</xm:sqref>
        </x14:conditionalFormatting>
        <x14:conditionalFormatting xmlns:xm="http://schemas.microsoft.com/office/excel/2006/main">
          <x14:cfRule type="dataBar" id="{3937B26D-9772-4DFC-B3AD-DEFACC1C809A}">
            <x14:dataBar minLength="0" maxLength="100" gradient="0">
              <x14:cfvo type="num">
                <xm:f>0</xm:f>
              </x14:cfvo>
              <x14:cfvo type="num">
                <xm:f>5</xm:f>
              </x14:cfvo>
              <x14:negativeFillColor rgb="FFFF0000"/>
              <x14:axisColor rgb="FF000000"/>
            </x14:dataBar>
          </x14:cfRule>
          <xm:sqref>E15</xm:sqref>
        </x14:conditionalFormatting>
        <x14:conditionalFormatting xmlns:xm="http://schemas.microsoft.com/office/excel/2006/main">
          <x14:cfRule type="dataBar" id="{71F3FDF3-3DB9-43CD-A05F-28AF99C566FB}">
            <x14:dataBar minLength="0" maxLength="100" gradient="0">
              <x14:cfvo type="num">
                <xm:f>0</xm:f>
              </x14:cfvo>
              <x14:cfvo type="num">
                <xm:f>5</xm:f>
              </x14:cfvo>
              <x14:negativeFillColor rgb="FFFF0000"/>
              <x14:axisColor rgb="FF000000"/>
            </x14:dataBar>
          </x14:cfRule>
          <xm:sqref>E9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autoPageBreaks="0" fitToPage="1"/>
  </sheetPr>
  <dimension ref="A1:AI77"/>
  <sheetViews>
    <sheetView showGridLines="0" showRowColHeaders="0" zoomScaleNormal="100" workbookViewId="0">
      <pane ySplit="7" topLeftCell="A8" activePane="bottomLeft" state="frozen"/>
      <selection activeCell="D1" sqref="D1"/>
      <selection pane="bottomLeft" activeCell="F2" sqref="F2:F5"/>
    </sheetView>
  </sheetViews>
  <sheetFormatPr defaultColWidth="9.140625" defaultRowHeight="15" x14ac:dyDescent="0.25"/>
  <cols>
    <col min="1" max="1" width="9.28515625" style="9" hidden="1" customWidth="1"/>
    <col min="2" max="2" width="8.85546875" style="65" hidden="1" customWidth="1"/>
    <col min="3" max="3" width="8.85546875" style="13" hidden="1" customWidth="1"/>
    <col min="4" max="4" width="6.28515625" style="20" customWidth="1"/>
    <col min="5" max="5" width="15.5703125" style="13" customWidth="1"/>
    <col min="6" max="6" width="67.42578125" style="13" customWidth="1"/>
    <col min="7" max="7" width="20.28515625" style="13" customWidth="1"/>
    <col min="8" max="13" width="12.7109375" style="13" customWidth="1"/>
    <col min="14" max="17" width="9.140625" style="13" customWidth="1"/>
    <col min="18" max="22" width="9.140625" style="21" hidden="1" customWidth="1"/>
    <col min="23" max="24" width="9.140625" style="191" hidden="1" customWidth="1"/>
    <col min="25" max="25" width="9.140625" style="21" hidden="1" customWidth="1"/>
    <col min="26" max="34" width="9.140625" style="19" customWidth="1"/>
    <col min="35" max="35" width="9.140625" style="133" customWidth="1"/>
    <col min="36" max="16384" width="9.140625" style="19"/>
  </cols>
  <sheetData>
    <row r="1" spans="1:35" s="13" customFormat="1" x14ac:dyDescent="0.25">
      <c r="A1" s="9"/>
      <c r="B1" s="65"/>
      <c r="D1" s="20"/>
      <c r="R1" s="21"/>
      <c r="S1" s="21"/>
      <c r="T1" s="21"/>
      <c r="U1" s="21"/>
      <c r="V1" s="21"/>
      <c r="W1" s="191"/>
      <c r="X1" s="191"/>
      <c r="Y1" s="21"/>
      <c r="AI1" s="49"/>
    </row>
    <row r="2" spans="1:35" s="95" customFormat="1" ht="15" customHeight="1" x14ac:dyDescent="0.4">
      <c r="A2" s="93"/>
      <c r="B2" s="94"/>
      <c r="D2" s="74"/>
      <c r="E2" s="19"/>
      <c r="F2" s="308" t="s">
        <v>78</v>
      </c>
      <c r="R2" s="151"/>
      <c r="S2" s="151"/>
      <c r="T2" s="151"/>
      <c r="U2" s="151"/>
      <c r="V2" s="151"/>
      <c r="W2" s="151"/>
      <c r="X2" s="151"/>
      <c r="Y2" s="151"/>
      <c r="AA2" s="145"/>
      <c r="AB2" s="145"/>
      <c r="AC2" s="145"/>
      <c r="AI2" s="96"/>
    </row>
    <row r="3" spans="1:35" s="95" customFormat="1" ht="15" customHeight="1" thickBot="1" x14ac:dyDescent="0.45">
      <c r="A3" s="93"/>
      <c r="B3" s="94"/>
      <c r="D3" s="74"/>
      <c r="E3" s="19"/>
      <c r="F3" s="308"/>
      <c r="I3" s="97" t="s">
        <v>49</v>
      </c>
      <c r="J3" s="97" t="s">
        <v>50</v>
      </c>
      <c r="K3" s="97" t="s">
        <v>51</v>
      </c>
      <c r="L3" s="97" t="s">
        <v>52</v>
      </c>
      <c r="M3" s="97" t="s">
        <v>53</v>
      </c>
      <c r="R3" s="151"/>
      <c r="S3" s="151"/>
      <c r="T3" s="151"/>
      <c r="U3" s="151"/>
      <c r="V3" s="151"/>
      <c r="W3" s="151"/>
      <c r="X3" s="151"/>
      <c r="Y3" s="151"/>
      <c r="AA3" s="145"/>
      <c r="AB3" s="145"/>
      <c r="AC3" s="145"/>
      <c r="AI3" s="96"/>
    </row>
    <row r="4" spans="1:35" s="95" customFormat="1" ht="15" customHeight="1" thickTop="1" thickBot="1" x14ac:dyDescent="0.45">
      <c r="A4" s="93"/>
      <c r="B4" s="94"/>
      <c r="D4" s="74"/>
      <c r="E4" s="19"/>
      <c r="F4" s="308"/>
      <c r="I4" s="98" t="s">
        <v>97</v>
      </c>
      <c r="J4" s="98" t="s">
        <v>54</v>
      </c>
      <c r="K4" s="98" t="s">
        <v>55</v>
      </c>
      <c r="L4" s="98" t="s">
        <v>56</v>
      </c>
      <c r="M4" s="98" t="s">
        <v>57</v>
      </c>
      <c r="R4" s="194">
        <f>VALUE(TRIM(LEFT(I4,FIND("-",I4)-1)))</f>
        <v>0</v>
      </c>
      <c r="S4" s="194">
        <f>VALUE(TRIM(LEFT(J4,FIND("-",J4)-1)))</f>
        <v>9</v>
      </c>
      <c r="T4" s="194">
        <f>VALUE(TRIM(LEFT(K4,FIND("-",K4)-1)))</f>
        <v>31</v>
      </c>
      <c r="U4" s="194">
        <f>VALUE(TRIM(LEFT(L4,FIND("-",L4)-1)))</f>
        <v>71</v>
      </c>
      <c r="V4" s="194">
        <f>VALUE(TRIM(LEFT(M4,FIND("-",M4)-1)))</f>
        <v>93</v>
      </c>
      <c r="W4" s="151"/>
      <c r="X4" s="151"/>
      <c r="Y4" s="151"/>
      <c r="AA4" s="145"/>
      <c r="AB4" s="145"/>
      <c r="AC4" s="145"/>
      <c r="AI4" s="96"/>
    </row>
    <row r="5" spans="1:35" s="95" customFormat="1" ht="15" customHeight="1" thickTop="1" x14ac:dyDescent="0.4">
      <c r="A5" s="93"/>
      <c r="B5" s="94"/>
      <c r="D5" s="74"/>
      <c r="E5" s="19"/>
      <c r="F5" s="308"/>
      <c r="I5" s="99" t="s">
        <v>36</v>
      </c>
      <c r="J5" s="99" t="s">
        <v>37</v>
      </c>
      <c r="K5" s="99" t="s">
        <v>38</v>
      </c>
      <c r="L5" s="99" t="s">
        <v>39</v>
      </c>
      <c r="M5" s="99" t="s">
        <v>40</v>
      </c>
      <c r="R5" s="194" t="s">
        <v>36</v>
      </c>
      <c r="S5" s="194" t="s">
        <v>37</v>
      </c>
      <c r="T5" s="194" t="s">
        <v>38</v>
      </c>
      <c r="U5" s="194" t="s">
        <v>39</v>
      </c>
      <c r="V5" s="194" t="s">
        <v>40</v>
      </c>
      <c r="W5" s="151"/>
      <c r="X5" s="151"/>
      <c r="Y5" s="151"/>
      <c r="AA5" s="145"/>
      <c r="AB5" s="145"/>
      <c r="AC5" s="145"/>
      <c r="AI5" s="96"/>
    </row>
    <row r="6" spans="1:35" s="13" customFormat="1" ht="11.25" customHeight="1" x14ac:dyDescent="0.25">
      <c r="A6" s="9"/>
      <c r="B6" s="65"/>
      <c r="D6" s="20"/>
      <c r="R6" s="21">
        <v>1</v>
      </c>
      <c r="S6" s="21">
        <v>2</v>
      </c>
      <c r="T6" s="21">
        <v>3</v>
      </c>
      <c r="U6" s="21">
        <v>4</v>
      </c>
      <c r="V6" s="21">
        <v>5</v>
      </c>
      <c r="W6" s="191"/>
      <c r="X6" s="191"/>
      <c r="Y6" s="21"/>
      <c r="AI6" s="49"/>
    </row>
    <row r="7" spans="1:35" s="13" customFormat="1" ht="36" customHeight="1" x14ac:dyDescent="0.3">
      <c r="A7" s="9" t="s">
        <v>67</v>
      </c>
      <c r="B7" s="65" t="s">
        <v>72</v>
      </c>
      <c r="C7" s="13" t="s">
        <v>71</v>
      </c>
      <c r="D7" s="20"/>
      <c r="F7" s="34"/>
      <c r="G7" s="52" t="s">
        <v>8</v>
      </c>
      <c r="H7" s="58"/>
      <c r="I7" s="58"/>
      <c r="J7" s="58"/>
      <c r="K7" s="58"/>
      <c r="L7" s="58"/>
      <c r="R7" s="21"/>
      <c r="S7" s="21"/>
      <c r="T7" s="21"/>
      <c r="U7" s="21"/>
      <c r="V7" s="21"/>
      <c r="W7" s="191"/>
      <c r="X7" s="191"/>
      <c r="Y7" s="21"/>
      <c r="AD7" s="144"/>
      <c r="AE7" s="144"/>
      <c r="AF7" s="144"/>
      <c r="AG7" s="144"/>
      <c r="AI7" s="49"/>
    </row>
    <row r="8" spans="1:35" s="74" customFormat="1" ht="35.1" customHeight="1" x14ac:dyDescent="0.25">
      <c r="A8" s="72">
        <v>1</v>
      </c>
      <c r="B8" s="148" t="str">
        <f t="shared" ref="B8:B39" si="0">VLOOKUP(A8,contentrefmockup,2,FALSE)</f>
        <v>A</v>
      </c>
      <c r="C8" s="20">
        <f t="shared" ref="C8:C39" si="1">VLOOKUP(A8,contentrefmockup,15,FALSE)</f>
        <v>1</v>
      </c>
      <c r="D8" s="20" t="s">
        <v>134</v>
      </c>
      <c r="E8" s="110" t="str">
        <f t="shared" ref="E8:E39" si="2">IF(C8=1,"Stage "&amp;B8,IF(C8=2,"Step "&amp;VLOOKUP(A8,contentrefmockup,4,FALSE),B8))</f>
        <v>Stage A</v>
      </c>
      <c r="F8" s="111" t="str">
        <f t="shared" ref="F8:F39" si="3">VLOOKUP(A8,contentrefmockup,7,FALSE)</f>
        <v>Preparation</v>
      </c>
      <c r="G8" s="103"/>
      <c r="H8" s="104"/>
      <c r="I8" s="104"/>
      <c r="J8" s="104"/>
      <c r="K8" s="104"/>
      <c r="L8" s="104"/>
      <c r="M8" s="103"/>
      <c r="N8" s="103"/>
      <c r="O8" s="103"/>
      <c r="P8" s="103"/>
      <c r="Q8" s="103"/>
      <c r="R8" s="195"/>
      <c r="S8" s="195"/>
      <c r="T8" s="196" t="str">
        <f t="shared" ref="T8:T39" si="4">E8</f>
        <v>Stage A</v>
      </c>
      <c r="U8" s="195"/>
      <c r="V8" s="195"/>
      <c r="W8" s="154">
        <v>0</v>
      </c>
      <c r="X8" s="154">
        <f t="shared" ref="X8:X39" si="5">VLOOKUP(A8,contentrefmockup,8,FALSE)</f>
        <v>0</v>
      </c>
      <c r="Y8" s="192" t="e">
        <f t="shared" ref="Y8:Y39" si="6">VLOOKUP(W8,weighting_response_reverse,2,FALSE)</f>
        <v>#N/A</v>
      </c>
      <c r="AI8" s="79"/>
    </row>
    <row r="9" spans="1:35" s="74" customFormat="1" ht="30" customHeight="1" x14ac:dyDescent="0.25">
      <c r="A9" s="72">
        <v>2</v>
      </c>
      <c r="B9" s="148" t="str">
        <f t="shared" si="0"/>
        <v>A.1</v>
      </c>
      <c r="C9" s="20">
        <f t="shared" si="1"/>
        <v>2</v>
      </c>
      <c r="D9" s="20"/>
      <c r="E9" s="66" t="str">
        <f t="shared" si="2"/>
        <v>Step 1</v>
      </c>
      <c r="F9" s="221" t="str">
        <f t="shared" si="3"/>
        <v>Maintain a technical security assurance framework</v>
      </c>
      <c r="G9" s="221"/>
      <c r="H9" s="221"/>
      <c r="I9" s="221"/>
      <c r="J9" s="221"/>
      <c r="K9" s="221"/>
      <c r="L9" s="221"/>
      <c r="M9" s="221"/>
      <c r="N9" s="221"/>
      <c r="O9" s="221"/>
      <c r="P9" s="221"/>
      <c r="Q9" s="221"/>
      <c r="R9" s="222"/>
      <c r="S9" s="223"/>
      <c r="T9" s="196" t="str">
        <f t="shared" si="4"/>
        <v>Step 1</v>
      </c>
      <c r="U9" s="223"/>
      <c r="V9" s="223"/>
      <c r="W9" s="154">
        <v>0</v>
      </c>
      <c r="X9" s="154">
        <f t="shared" si="5"/>
        <v>0</v>
      </c>
      <c r="Y9" s="192" t="e">
        <f t="shared" si="6"/>
        <v>#N/A</v>
      </c>
      <c r="AI9" s="79"/>
    </row>
    <row r="10" spans="1:35" s="74" customFormat="1" ht="45" x14ac:dyDescent="0.25">
      <c r="A10" s="72">
        <v>3</v>
      </c>
      <c r="B10" s="148" t="str">
        <f t="shared" si="0"/>
        <v>A.1.01</v>
      </c>
      <c r="C10" s="20">
        <f t="shared" si="1"/>
        <v>5</v>
      </c>
      <c r="D10" s="20"/>
      <c r="E10" s="183" t="str">
        <f t="shared" si="2"/>
        <v>A.1.01</v>
      </c>
      <c r="F10" s="186" t="str">
        <f t="shared" si="3"/>
        <v>Do you maintain an approved technical security assurance framework, which is focused on protecting your most critical information and systems?</v>
      </c>
      <c r="G10" s="188"/>
      <c r="H10" s="190"/>
      <c r="I10" s="190"/>
      <c r="J10" s="190"/>
      <c r="K10" s="190"/>
      <c r="L10" s="190"/>
      <c r="M10" s="190"/>
      <c r="N10" s="20"/>
      <c r="O10" s="20"/>
      <c r="P10" s="20"/>
      <c r="Q10" s="20"/>
      <c r="R10" s="135"/>
      <c r="S10" s="135"/>
      <c r="T10" s="196" t="str">
        <f t="shared" si="4"/>
        <v>A.1.01</v>
      </c>
      <c r="U10" s="135"/>
      <c r="V10" s="135"/>
      <c r="W10" s="154">
        <v>1</v>
      </c>
      <c r="X10" s="154">
        <f t="shared" si="5"/>
        <v>1</v>
      </c>
      <c r="Y10" s="192" t="str">
        <f t="shared" si="6"/>
        <v>x 1</v>
      </c>
      <c r="AI10" s="79"/>
    </row>
    <row r="11" spans="1:35" s="75" customFormat="1" ht="120" x14ac:dyDescent="0.25">
      <c r="A11" s="67">
        <v>4</v>
      </c>
      <c r="B11" s="146" t="str">
        <f t="shared" si="0"/>
        <v/>
      </c>
      <c r="C11" s="69">
        <f t="shared" si="1"/>
        <v>3</v>
      </c>
      <c r="D11" s="20"/>
      <c r="E11" s="70" t="str">
        <f t="shared" si="2"/>
        <v/>
      </c>
      <c r="F11" s="147" t="str">
        <f t="shared" si="3"/>
        <v>A technical security assurance framework would typically include multiple environments for testing, a security architecture, an ongoing security monitoring services (e.g. in a SOC), an adequate range of technical security services and a balanced selection of preventative, detective and reactive security controls; supported by sufficient budget, skilled resources, processes, tools and technologies, adequate management support and an IT or Cyber security risk management programme.</v>
      </c>
      <c r="G11" s="149"/>
      <c r="H11" s="150"/>
      <c r="I11" s="150"/>
      <c r="J11" s="150"/>
      <c r="K11" s="150"/>
      <c r="L11" s="150"/>
      <c r="M11" s="150"/>
      <c r="N11" s="69"/>
      <c r="O11" s="69"/>
      <c r="P11" s="69"/>
      <c r="Q11" s="69"/>
      <c r="R11" s="200"/>
      <c r="S11" s="200"/>
      <c r="T11" s="199" t="str">
        <f t="shared" si="4"/>
        <v/>
      </c>
      <c r="U11" s="200"/>
      <c r="V11" s="200"/>
      <c r="W11" s="82">
        <v>0</v>
      </c>
      <c r="X11" s="82">
        <f t="shared" si="5"/>
        <v>0</v>
      </c>
      <c r="Y11" s="193" t="e">
        <f t="shared" si="6"/>
        <v>#N/A</v>
      </c>
      <c r="AH11" s="20"/>
      <c r="AI11" s="80"/>
    </row>
    <row r="12" spans="1:35" s="75" customFormat="1" ht="30" customHeight="1" x14ac:dyDescent="0.25">
      <c r="A12" s="67">
        <v>5</v>
      </c>
      <c r="B12" s="146" t="str">
        <f t="shared" si="0"/>
        <v>A.2</v>
      </c>
      <c r="C12" s="69">
        <f t="shared" si="1"/>
        <v>2</v>
      </c>
      <c r="D12" s="20"/>
      <c r="E12" s="181" t="str">
        <f t="shared" si="2"/>
        <v>Step 2</v>
      </c>
      <c r="F12" s="184" t="str">
        <f t="shared" si="3"/>
        <v>Establish a penetration testing governance structure</v>
      </c>
      <c r="G12" s="184"/>
      <c r="H12" s="184"/>
      <c r="I12" s="184"/>
      <c r="J12" s="184"/>
      <c r="K12" s="184"/>
      <c r="L12" s="184"/>
      <c r="M12" s="184"/>
      <c r="N12" s="184"/>
      <c r="O12" s="184"/>
      <c r="P12" s="184"/>
      <c r="Q12" s="184"/>
      <c r="R12" s="197"/>
      <c r="S12" s="198"/>
      <c r="T12" s="199" t="str">
        <f t="shared" si="4"/>
        <v>Step 2</v>
      </c>
      <c r="U12" s="198"/>
      <c r="V12" s="198"/>
      <c r="W12" s="82">
        <v>0</v>
      </c>
      <c r="X12" s="82">
        <f t="shared" si="5"/>
        <v>0</v>
      </c>
      <c r="Y12" s="193" t="e">
        <f t="shared" si="6"/>
        <v>#N/A</v>
      </c>
      <c r="AH12" s="74"/>
      <c r="AI12" s="80"/>
    </row>
    <row r="13" spans="1:35" s="75" customFormat="1" ht="30" x14ac:dyDescent="0.25">
      <c r="A13" s="67">
        <v>6</v>
      </c>
      <c r="B13" s="146" t="str">
        <f t="shared" si="0"/>
        <v>A.2.01</v>
      </c>
      <c r="C13" s="69">
        <f t="shared" si="1"/>
        <v>5</v>
      </c>
      <c r="D13" s="20"/>
      <c r="E13" s="70" t="str">
        <f t="shared" si="2"/>
        <v>A.2.01</v>
      </c>
      <c r="F13" s="71" t="str">
        <f t="shared" si="3"/>
        <v>Have you established a suitable governance structure to oversee and coordinate a regular penetration testing programme?</v>
      </c>
      <c r="G13" s="149"/>
      <c r="H13" s="150"/>
      <c r="I13" s="150"/>
      <c r="J13" s="150"/>
      <c r="K13" s="150"/>
      <c r="L13" s="150"/>
      <c r="M13" s="150"/>
      <c r="N13" s="69"/>
      <c r="O13" s="69"/>
      <c r="P13" s="69"/>
      <c r="Q13" s="69"/>
      <c r="R13" s="200"/>
      <c r="S13" s="200"/>
      <c r="T13" s="199" t="str">
        <f t="shared" si="4"/>
        <v>A.2.01</v>
      </c>
      <c r="U13" s="200"/>
      <c r="V13" s="200"/>
      <c r="W13" s="82">
        <v>1</v>
      </c>
      <c r="X13" s="82">
        <f t="shared" si="5"/>
        <v>1</v>
      </c>
      <c r="Y13" s="193" t="str">
        <f t="shared" si="6"/>
        <v>x 1</v>
      </c>
      <c r="AH13" s="74"/>
      <c r="AI13" s="80"/>
    </row>
    <row r="14" spans="1:35" s="75" customFormat="1" ht="135" x14ac:dyDescent="0.25">
      <c r="A14" s="67">
        <v>7</v>
      </c>
      <c r="B14" s="146" t="str">
        <f t="shared" si="0"/>
        <v/>
      </c>
      <c r="C14" s="69">
        <f t="shared" si="1"/>
        <v>3</v>
      </c>
      <c r="D14" s="20"/>
      <c r="E14" s="70" t="str">
        <f t="shared" si="2"/>
        <v/>
      </c>
      <c r="F14" s="147" t="str">
        <f t="shared" si="3"/>
        <v>An effective governance structure for penetration testing would typically cover all main systems enterprise-wide (while focusing on the most critical), through a penetration testing programme that includes penetration testing processes and methodologies, supplier selection criteria, and a penetration testing assurance management framework; supported by a joint management and technical team to agree the programme and scope of regular penetration testing, an effective change management process and a set of key performance indicators for the results of the penetration tests.</v>
      </c>
      <c r="G14" s="149"/>
      <c r="H14" s="150"/>
      <c r="I14" s="150"/>
      <c r="J14" s="150"/>
      <c r="K14" s="150"/>
      <c r="L14" s="150"/>
      <c r="M14" s="150"/>
      <c r="N14" s="69"/>
      <c r="O14" s="69"/>
      <c r="P14" s="69"/>
      <c r="Q14" s="69"/>
      <c r="R14" s="200"/>
      <c r="S14" s="200"/>
      <c r="T14" s="199" t="str">
        <f t="shared" si="4"/>
        <v/>
      </c>
      <c r="U14" s="200"/>
      <c r="V14" s="200"/>
      <c r="W14" s="82">
        <v>0</v>
      </c>
      <c r="X14" s="82">
        <f t="shared" si="5"/>
        <v>0</v>
      </c>
      <c r="Y14" s="193" t="e">
        <f t="shared" si="6"/>
        <v>#N/A</v>
      </c>
      <c r="AH14" s="20"/>
      <c r="AI14" s="80"/>
    </row>
    <row r="15" spans="1:35" s="75" customFormat="1" ht="30" customHeight="1" x14ac:dyDescent="0.25">
      <c r="A15" s="67">
        <v>8</v>
      </c>
      <c r="B15" s="146" t="str">
        <f t="shared" si="0"/>
        <v>A.3</v>
      </c>
      <c r="C15" s="69">
        <f t="shared" si="1"/>
        <v>2</v>
      </c>
      <c r="D15" s="20"/>
      <c r="E15" s="181" t="str">
        <f t="shared" si="2"/>
        <v>Step 3</v>
      </c>
      <c r="F15" s="184" t="str">
        <f t="shared" si="3"/>
        <v>Evaluate drivers for conducting penetration tests</v>
      </c>
      <c r="G15" s="184"/>
      <c r="H15" s="184"/>
      <c r="I15" s="184"/>
      <c r="J15" s="184"/>
      <c r="K15" s="184"/>
      <c r="L15" s="184"/>
      <c r="M15" s="184"/>
      <c r="N15" s="184"/>
      <c r="O15" s="184"/>
      <c r="P15" s="184"/>
      <c r="Q15" s="184"/>
      <c r="R15" s="197"/>
      <c r="S15" s="198"/>
      <c r="T15" s="199" t="str">
        <f t="shared" si="4"/>
        <v>Step 3</v>
      </c>
      <c r="U15" s="198"/>
      <c r="V15" s="198"/>
      <c r="W15" s="82">
        <v>0</v>
      </c>
      <c r="X15" s="82">
        <f t="shared" si="5"/>
        <v>0</v>
      </c>
      <c r="Y15" s="193" t="e">
        <f t="shared" si="6"/>
        <v>#N/A</v>
      </c>
      <c r="AH15" s="74"/>
      <c r="AI15" s="80"/>
    </row>
    <row r="16" spans="1:35" s="75" customFormat="1" ht="60" x14ac:dyDescent="0.25">
      <c r="A16" s="67">
        <v>9</v>
      </c>
      <c r="B16" s="146" t="str">
        <f t="shared" si="0"/>
        <v>A.3.01</v>
      </c>
      <c r="C16" s="69">
        <f t="shared" si="1"/>
        <v>5</v>
      </c>
      <c r="D16" s="20"/>
      <c r="E16" s="70" t="str">
        <f t="shared" si="2"/>
        <v>A.3.01</v>
      </c>
      <c r="F16" s="71" t="str">
        <f t="shared" si="3"/>
        <v>Have you identified drivers for carrying out penetration tests as part of a technical assurance programme, based on an evaluation of relevant criteria, such as the impact of serious incidents, increased threat levels or significant changes to business or IT processes?</v>
      </c>
      <c r="G16" s="149"/>
      <c r="H16" s="150"/>
      <c r="I16" s="150"/>
      <c r="J16" s="150"/>
      <c r="K16" s="150"/>
      <c r="L16" s="150"/>
      <c r="M16" s="150"/>
      <c r="N16" s="69"/>
      <c r="O16" s="69"/>
      <c r="P16" s="69"/>
      <c r="Q16" s="69"/>
      <c r="R16" s="200"/>
      <c r="S16" s="200"/>
      <c r="T16" s="199" t="str">
        <f t="shared" si="4"/>
        <v>A.3.01</v>
      </c>
      <c r="U16" s="200"/>
      <c r="V16" s="200"/>
      <c r="W16" s="82">
        <v>1</v>
      </c>
      <c r="X16" s="82">
        <f t="shared" si="5"/>
        <v>1</v>
      </c>
      <c r="Y16" s="193" t="str">
        <f t="shared" si="6"/>
        <v>x 1</v>
      </c>
      <c r="AH16" s="74"/>
      <c r="AI16" s="80"/>
    </row>
    <row r="17" spans="1:35" s="75" customFormat="1" ht="90" x14ac:dyDescent="0.25">
      <c r="A17" s="67">
        <v>10</v>
      </c>
      <c r="B17" s="146" t="str">
        <f t="shared" si="0"/>
        <v/>
      </c>
      <c r="C17" s="69">
        <f t="shared" si="1"/>
        <v>3</v>
      </c>
      <c r="D17" s="20"/>
      <c r="E17" s="70" t="str">
        <f t="shared" si="2"/>
        <v/>
      </c>
      <c r="F17" s="147" t="str">
        <f t="shared" si="3"/>
        <v>Drivers for carrying out penetration tests should: be placed within a wider context of security assessment and strategy to contextualise the findings and recommendations; focus on ensuring that major system vulnerabilities are identified and addressed; and help to reduce the risk of discovering that the same problems still exist the next time a penetration test is carried out.</v>
      </c>
      <c r="G17" s="149"/>
      <c r="H17" s="150"/>
      <c r="I17" s="150"/>
      <c r="J17" s="150"/>
      <c r="K17" s="150"/>
      <c r="L17" s="150"/>
      <c r="M17" s="150"/>
      <c r="N17" s="69"/>
      <c r="O17" s="69"/>
      <c r="P17" s="69"/>
      <c r="Q17" s="69"/>
      <c r="R17" s="200"/>
      <c r="S17" s="200"/>
      <c r="T17" s="199" t="str">
        <f t="shared" si="4"/>
        <v/>
      </c>
      <c r="U17" s="200"/>
      <c r="V17" s="200"/>
      <c r="W17" s="82">
        <v>0</v>
      </c>
      <c r="X17" s="82">
        <f t="shared" si="5"/>
        <v>0</v>
      </c>
      <c r="Y17" s="193" t="e">
        <f t="shared" si="6"/>
        <v>#N/A</v>
      </c>
      <c r="AH17" s="20"/>
      <c r="AI17" s="80"/>
    </row>
    <row r="18" spans="1:35" s="75" customFormat="1" ht="30" customHeight="1" x14ac:dyDescent="0.25">
      <c r="A18" s="67">
        <v>11</v>
      </c>
      <c r="B18" s="146" t="str">
        <f t="shared" si="0"/>
        <v>A.4</v>
      </c>
      <c r="C18" s="69">
        <f t="shared" si="1"/>
        <v>2</v>
      </c>
      <c r="D18" s="20"/>
      <c r="E18" s="181" t="str">
        <f t="shared" si="2"/>
        <v>Step 4</v>
      </c>
      <c r="F18" s="184" t="str">
        <f t="shared" si="3"/>
        <v>Identify target environments</v>
      </c>
      <c r="G18" s="184"/>
      <c r="H18" s="184"/>
      <c r="I18" s="184"/>
      <c r="J18" s="184"/>
      <c r="K18" s="184"/>
      <c r="L18" s="184"/>
      <c r="M18" s="184"/>
      <c r="N18" s="184"/>
      <c r="O18" s="184"/>
      <c r="P18" s="184"/>
      <c r="Q18" s="184"/>
      <c r="R18" s="197"/>
      <c r="S18" s="198"/>
      <c r="T18" s="199" t="str">
        <f t="shared" si="4"/>
        <v>Step 4</v>
      </c>
      <c r="U18" s="198"/>
      <c r="V18" s="198"/>
      <c r="W18" s="82">
        <v>0</v>
      </c>
      <c r="X18" s="82">
        <f t="shared" si="5"/>
        <v>0</v>
      </c>
      <c r="Y18" s="193" t="e">
        <f t="shared" si="6"/>
        <v>#N/A</v>
      </c>
      <c r="AH18" s="74"/>
      <c r="AI18" s="80"/>
    </row>
    <row r="19" spans="1:35" s="75" customFormat="1" ht="45" x14ac:dyDescent="0.25">
      <c r="A19" s="67">
        <v>12</v>
      </c>
      <c r="B19" s="146" t="str">
        <f t="shared" si="0"/>
        <v>A.4.01</v>
      </c>
      <c r="C19" s="69">
        <f t="shared" si="1"/>
        <v>5</v>
      </c>
      <c r="D19" s="20"/>
      <c r="E19" s="70" t="str">
        <f t="shared" si="2"/>
        <v>A.4.01</v>
      </c>
      <c r="F19" s="71" t="str">
        <f t="shared" si="3"/>
        <v>Have you identified target environments that need to be subject to penetration testing, such as critical web applications and important IT infrastructure?</v>
      </c>
      <c r="G19" s="149"/>
      <c r="H19" s="150"/>
      <c r="I19" s="150"/>
      <c r="J19" s="150"/>
      <c r="K19" s="150"/>
      <c r="L19" s="150"/>
      <c r="M19" s="150"/>
      <c r="N19" s="69"/>
      <c r="O19" s="69"/>
      <c r="P19" s="69"/>
      <c r="Q19" s="69"/>
      <c r="R19" s="200"/>
      <c r="S19" s="200"/>
      <c r="T19" s="199" t="str">
        <f t="shared" si="4"/>
        <v>A.4.01</v>
      </c>
      <c r="U19" s="200"/>
      <c r="V19" s="200"/>
      <c r="W19" s="82">
        <v>1</v>
      </c>
      <c r="X19" s="82">
        <f t="shared" si="5"/>
        <v>1</v>
      </c>
      <c r="Y19" s="193" t="str">
        <f t="shared" si="6"/>
        <v>x 1</v>
      </c>
      <c r="AH19" s="74"/>
      <c r="AI19" s="80"/>
    </row>
    <row r="20" spans="1:35" s="75" customFormat="1" ht="75" x14ac:dyDescent="0.25">
      <c r="A20" s="67">
        <v>13</v>
      </c>
      <c r="B20" s="146" t="str">
        <f t="shared" si="0"/>
        <v/>
      </c>
      <c r="C20" s="69">
        <f t="shared" si="1"/>
        <v>3</v>
      </c>
      <c r="D20" s="20"/>
      <c r="E20" s="70" t="str">
        <f t="shared" si="2"/>
        <v/>
      </c>
      <c r="F20" s="147" t="str">
        <f t="shared" si="3"/>
        <v>Identification of target environments that need to be subject to penetration testing should take account of a wide range of factors including compliance requirements, system criticality and significant changes to critical business processes, as well as being built into relevant stages of systems under development.</v>
      </c>
      <c r="G20" s="149"/>
      <c r="H20" s="150"/>
      <c r="I20" s="150"/>
      <c r="J20" s="150"/>
      <c r="K20" s="150"/>
      <c r="L20" s="150"/>
      <c r="M20" s="150"/>
      <c r="N20" s="69"/>
      <c r="O20" s="69"/>
      <c r="P20" s="69"/>
      <c r="Q20" s="69"/>
      <c r="R20" s="200"/>
      <c r="S20" s="200"/>
      <c r="T20" s="199" t="str">
        <f t="shared" si="4"/>
        <v/>
      </c>
      <c r="U20" s="200"/>
      <c r="V20" s="200"/>
      <c r="W20" s="82">
        <v>0</v>
      </c>
      <c r="X20" s="82">
        <f t="shared" si="5"/>
        <v>0</v>
      </c>
      <c r="Y20" s="193" t="e">
        <f t="shared" si="6"/>
        <v>#N/A</v>
      </c>
      <c r="AH20" s="20"/>
      <c r="AI20" s="80"/>
    </row>
    <row r="21" spans="1:35" s="75" customFormat="1" ht="30" customHeight="1" x14ac:dyDescent="0.25">
      <c r="A21" s="67">
        <v>14</v>
      </c>
      <c r="B21" s="146" t="str">
        <f t="shared" si="0"/>
        <v>A.5</v>
      </c>
      <c r="C21" s="69">
        <f t="shared" si="1"/>
        <v>2</v>
      </c>
      <c r="D21" s="20"/>
      <c r="E21" s="181" t="str">
        <f t="shared" si="2"/>
        <v>Step 5</v>
      </c>
      <c r="F21" s="184" t="str">
        <f t="shared" si="3"/>
        <v>Define the purpose of the penetration tests</v>
      </c>
      <c r="G21" s="184"/>
      <c r="H21" s="184"/>
      <c r="I21" s="184"/>
      <c r="J21" s="184"/>
      <c r="K21" s="184"/>
      <c r="L21" s="184"/>
      <c r="M21" s="184"/>
      <c r="N21" s="184"/>
      <c r="O21" s="184"/>
      <c r="P21" s="184"/>
      <c r="Q21" s="184"/>
      <c r="R21" s="197"/>
      <c r="S21" s="198"/>
      <c r="T21" s="199" t="str">
        <f t="shared" si="4"/>
        <v>Step 5</v>
      </c>
      <c r="U21" s="198"/>
      <c r="V21" s="198"/>
      <c r="W21" s="82">
        <v>0</v>
      </c>
      <c r="X21" s="82">
        <f t="shared" si="5"/>
        <v>0</v>
      </c>
      <c r="Y21" s="193" t="e">
        <f t="shared" si="6"/>
        <v>#N/A</v>
      </c>
      <c r="AH21" s="74"/>
      <c r="AI21" s="80"/>
    </row>
    <row r="22" spans="1:35" s="75" customFormat="1" ht="30" x14ac:dyDescent="0.25">
      <c r="A22" s="67">
        <v>15</v>
      </c>
      <c r="B22" s="146" t="str">
        <f t="shared" si="0"/>
        <v>A.5.01</v>
      </c>
      <c r="C22" s="69">
        <f t="shared" si="1"/>
        <v>5</v>
      </c>
      <c r="D22" s="20"/>
      <c r="E22" s="70" t="str">
        <f t="shared" si="2"/>
        <v>A.5.01</v>
      </c>
      <c r="F22" s="71" t="str">
        <f t="shared" si="3"/>
        <v>Do you define the purpose of penetration tests, evaluating the potential benefits to your organisation?</v>
      </c>
      <c r="G22" s="149"/>
      <c r="H22" s="150"/>
      <c r="I22" s="150"/>
      <c r="J22" s="150"/>
      <c r="K22" s="150"/>
      <c r="L22" s="150"/>
      <c r="M22" s="150"/>
      <c r="N22" s="69"/>
      <c r="O22" s="69"/>
      <c r="P22" s="69"/>
      <c r="Q22" s="69"/>
      <c r="R22" s="200"/>
      <c r="S22" s="200"/>
      <c r="T22" s="199" t="str">
        <f t="shared" si="4"/>
        <v>A.5.01</v>
      </c>
      <c r="U22" s="200"/>
      <c r="V22" s="200"/>
      <c r="W22" s="82">
        <v>1</v>
      </c>
      <c r="X22" s="82">
        <f t="shared" si="5"/>
        <v>1</v>
      </c>
      <c r="Y22" s="193" t="str">
        <f t="shared" si="6"/>
        <v>x 1</v>
      </c>
      <c r="AH22" s="74"/>
      <c r="AI22" s="80"/>
    </row>
    <row r="23" spans="1:35" s="75" customFormat="1" ht="120" x14ac:dyDescent="0.25">
      <c r="A23" s="67">
        <v>16</v>
      </c>
      <c r="B23" s="146" t="str">
        <f t="shared" si="0"/>
        <v/>
      </c>
      <c r="C23" s="69">
        <f t="shared" si="1"/>
        <v>3</v>
      </c>
      <c r="D23" s="20"/>
      <c r="E23" s="70" t="str">
        <f t="shared" si="2"/>
        <v/>
      </c>
      <c r="F23" s="147" t="str">
        <f t="shared" si="3"/>
        <v>Identifying the purpose of penetration tests should include assessing whether these tests can help your organisation to meet requirements (e.g. identify weaknesses in your security controls; reduce the frequency and impact of security incidents; comply with legal and regulatory requirements); and realise potential benefits (e.g. IT cost reductions; technical and business improvements; greater awareness of security risks and controls) – whilst taking account of any testing limitations or difficulties.</v>
      </c>
      <c r="G23" s="149"/>
      <c r="H23" s="150"/>
      <c r="I23" s="150"/>
      <c r="J23" s="150"/>
      <c r="K23" s="150"/>
      <c r="L23" s="150"/>
      <c r="M23" s="150"/>
      <c r="N23" s="69"/>
      <c r="O23" s="69"/>
      <c r="P23" s="69"/>
      <c r="Q23" s="69"/>
      <c r="R23" s="200"/>
      <c r="S23" s="200"/>
      <c r="T23" s="199" t="str">
        <f t="shared" si="4"/>
        <v/>
      </c>
      <c r="U23" s="200"/>
      <c r="V23" s="200"/>
      <c r="W23" s="82">
        <v>0</v>
      </c>
      <c r="X23" s="82">
        <f t="shared" si="5"/>
        <v>0</v>
      </c>
      <c r="Y23" s="193" t="e">
        <f t="shared" si="6"/>
        <v>#N/A</v>
      </c>
      <c r="AH23" s="20"/>
      <c r="AI23" s="80"/>
    </row>
    <row r="24" spans="1:35" s="75" customFormat="1" ht="30" customHeight="1" x14ac:dyDescent="0.25">
      <c r="A24" s="67">
        <v>17</v>
      </c>
      <c r="B24" s="146" t="str">
        <f t="shared" si="0"/>
        <v>A.6</v>
      </c>
      <c r="C24" s="69">
        <f t="shared" si="1"/>
        <v>2</v>
      </c>
      <c r="D24" s="20"/>
      <c r="E24" s="181" t="str">
        <f t="shared" si="2"/>
        <v>Step 6</v>
      </c>
      <c r="F24" s="184" t="str">
        <f t="shared" si="3"/>
        <v>Produce requirements specifications</v>
      </c>
      <c r="G24" s="184"/>
      <c r="H24" s="184"/>
      <c r="I24" s="184"/>
      <c r="J24" s="184"/>
      <c r="K24" s="184"/>
      <c r="L24" s="184"/>
      <c r="M24" s="184"/>
      <c r="N24" s="184"/>
      <c r="O24" s="184"/>
      <c r="P24" s="184"/>
      <c r="Q24" s="184"/>
      <c r="R24" s="197"/>
      <c r="S24" s="198"/>
      <c r="T24" s="199" t="str">
        <f t="shared" si="4"/>
        <v>Step 6</v>
      </c>
      <c r="U24" s="198"/>
      <c r="V24" s="198"/>
      <c r="W24" s="82">
        <v>0</v>
      </c>
      <c r="X24" s="82">
        <f t="shared" si="5"/>
        <v>0</v>
      </c>
      <c r="Y24" s="193" t="e">
        <f t="shared" si="6"/>
        <v>#N/A</v>
      </c>
      <c r="AH24" s="74"/>
      <c r="AI24" s="80"/>
    </row>
    <row r="25" spans="1:35" s="75" customFormat="1" ht="30" x14ac:dyDescent="0.25">
      <c r="A25" s="67">
        <v>18</v>
      </c>
      <c r="B25" s="146" t="str">
        <f t="shared" si="0"/>
        <v>A.6.01</v>
      </c>
      <c r="C25" s="69">
        <f t="shared" si="1"/>
        <v>5</v>
      </c>
      <c r="D25" s="20"/>
      <c r="E25" s="70" t="str">
        <f t="shared" si="2"/>
        <v>A.6.01</v>
      </c>
      <c r="F25" s="71" t="str">
        <f t="shared" si="3"/>
        <v>Do you define formal requirements for penetration testing carried out in your organisation?</v>
      </c>
      <c r="G25" s="149"/>
      <c r="H25" s="150"/>
      <c r="I25" s="150"/>
      <c r="J25" s="150"/>
      <c r="K25" s="150"/>
      <c r="L25" s="150"/>
      <c r="M25" s="150"/>
      <c r="N25" s="69"/>
      <c r="O25" s="69"/>
      <c r="P25" s="69"/>
      <c r="Q25" s="69"/>
      <c r="R25" s="200"/>
      <c r="S25" s="200"/>
      <c r="T25" s="199" t="str">
        <f t="shared" si="4"/>
        <v>A.6.01</v>
      </c>
      <c r="U25" s="200"/>
      <c r="V25" s="200"/>
      <c r="W25" s="82">
        <v>1</v>
      </c>
      <c r="X25" s="82">
        <f t="shared" si="5"/>
        <v>1</v>
      </c>
      <c r="Y25" s="193" t="str">
        <f t="shared" si="6"/>
        <v>x 1</v>
      </c>
      <c r="AH25" s="74"/>
      <c r="AI25" s="80"/>
    </row>
    <row r="26" spans="1:35" s="75" customFormat="1" ht="75" x14ac:dyDescent="0.25">
      <c r="A26" s="67">
        <v>19</v>
      </c>
      <c r="B26" s="146" t="str">
        <f t="shared" si="0"/>
        <v/>
      </c>
      <c r="C26" s="69">
        <f t="shared" si="1"/>
        <v>3</v>
      </c>
      <c r="D26" s="20"/>
      <c r="E26" s="70" t="str">
        <f t="shared" si="2"/>
        <v/>
      </c>
      <c r="F26" s="147" t="str">
        <f t="shared" si="3"/>
        <v>Requirements for penetration testing should include consideration of important business applications, key IT infrastructure and confidential data; validation that tests are legal and will not compromise confidential data; and the need for tests to be recorded, reviewed and signed-off.</v>
      </c>
      <c r="G26" s="149"/>
      <c r="H26" s="150"/>
      <c r="I26" s="150"/>
      <c r="J26" s="150"/>
      <c r="K26" s="150"/>
      <c r="L26" s="150"/>
      <c r="M26" s="150"/>
      <c r="N26" s="69"/>
      <c r="O26" s="69"/>
      <c r="P26" s="69"/>
      <c r="Q26" s="69"/>
      <c r="R26" s="200"/>
      <c r="S26" s="200"/>
      <c r="T26" s="199" t="str">
        <f t="shared" si="4"/>
        <v/>
      </c>
      <c r="U26" s="200"/>
      <c r="V26" s="200"/>
      <c r="W26" s="82">
        <v>0</v>
      </c>
      <c r="X26" s="82">
        <f t="shared" si="5"/>
        <v>0</v>
      </c>
      <c r="Y26" s="193" t="e">
        <f t="shared" si="6"/>
        <v>#N/A</v>
      </c>
      <c r="AH26" s="20"/>
      <c r="AI26" s="80"/>
    </row>
    <row r="27" spans="1:35" s="75" customFormat="1" ht="30" customHeight="1" x14ac:dyDescent="0.25">
      <c r="A27" s="67">
        <v>20</v>
      </c>
      <c r="B27" s="146" t="str">
        <f t="shared" si="0"/>
        <v>A.7</v>
      </c>
      <c r="C27" s="69">
        <f t="shared" si="1"/>
        <v>2</v>
      </c>
      <c r="D27" s="20"/>
      <c r="E27" s="181" t="str">
        <f t="shared" si="2"/>
        <v>Step 7</v>
      </c>
      <c r="F27" s="184" t="str">
        <f t="shared" si="3"/>
        <v>Select suitable suppliers</v>
      </c>
      <c r="G27" s="184"/>
      <c r="H27" s="184"/>
      <c r="I27" s="184"/>
      <c r="J27" s="184"/>
      <c r="K27" s="184"/>
      <c r="L27" s="184"/>
      <c r="M27" s="184"/>
      <c r="N27" s="184"/>
      <c r="O27" s="184"/>
      <c r="P27" s="184"/>
      <c r="Q27" s="184"/>
      <c r="R27" s="197"/>
      <c r="S27" s="198"/>
      <c r="T27" s="199" t="str">
        <f t="shared" si="4"/>
        <v>Step 7</v>
      </c>
      <c r="U27" s="198"/>
      <c r="V27" s="198"/>
      <c r="W27" s="82">
        <v>0</v>
      </c>
      <c r="X27" s="82">
        <f t="shared" si="5"/>
        <v>0</v>
      </c>
      <c r="Y27" s="193" t="e">
        <f t="shared" si="6"/>
        <v>#N/A</v>
      </c>
      <c r="AH27" s="74"/>
      <c r="AI27" s="80"/>
    </row>
    <row r="28" spans="1:35" s="75" customFormat="1" ht="60" x14ac:dyDescent="0.25">
      <c r="A28" s="67">
        <v>21</v>
      </c>
      <c r="B28" s="146" t="str">
        <f t="shared" si="0"/>
        <v>A.7.01</v>
      </c>
      <c r="C28" s="69">
        <f t="shared" si="1"/>
        <v>5</v>
      </c>
      <c r="D28" s="20"/>
      <c r="E28" s="70" t="str">
        <f t="shared" si="2"/>
        <v>A.7.01</v>
      </c>
      <c r="F28" s="71" t="str">
        <f t="shared" si="3"/>
        <v>Do you appoint suitable third party suppliers to undertake independent penetration testing (based on defined requirements, benefit evaluation, specified supplier selection criteria and validation of the supplier’s ability to meet your specific requirements)?</v>
      </c>
      <c r="G28" s="149"/>
      <c r="H28" s="150"/>
      <c r="I28" s="150"/>
      <c r="J28" s="150"/>
      <c r="K28" s="150"/>
      <c r="L28" s="150"/>
      <c r="M28" s="150"/>
      <c r="N28" s="69"/>
      <c r="O28" s="69"/>
      <c r="P28" s="69"/>
      <c r="Q28" s="69"/>
      <c r="R28" s="200"/>
      <c r="S28" s="200"/>
      <c r="T28" s="199" t="str">
        <f t="shared" si="4"/>
        <v>A.7.01</v>
      </c>
      <c r="U28" s="200"/>
      <c r="V28" s="200"/>
      <c r="W28" s="82">
        <v>1</v>
      </c>
      <c r="X28" s="82">
        <f t="shared" si="5"/>
        <v>1</v>
      </c>
      <c r="Y28" s="193" t="str">
        <f t="shared" si="6"/>
        <v>x 1</v>
      </c>
      <c r="AH28" s="74"/>
      <c r="AI28" s="80"/>
    </row>
    <row r="29" spans="1:35" s="75" customFormat="1" ht="105" x14ac:dyDescent="0.25">
      <c r="A29" s="67">
        <v>22</v>
      </c>
      <c r="B29" s="146" t="str">
        <f t="shared" si="0"/>
        <v/>
      </c>
      <c r="C29" s="69">
        <f t="shared" si="1"/>
        <v>3</v>
      </c>
      <c r="D29" s="20"/>
      <c r="E29" s="70" t="str">
        <f t="shared" si="2"/>
        <v/>
      </c>
      <c r="F29" s="147" t="str">
        <f t="shared" si="3"/>
        <v>Effective supplier selection criteria should be used to determine if potential suppliers can satisfactorily meet your specific testing requirements, based on their ability to provide: solid reputation, history and ethics; high quality, value-for-money services; research and development capability; highly competent, technical testers; and security and risk management, supported by a strong professional accreditation and complaint process.</v>
      </c>
      <c r="G29" s="149"/>
      <c r="H29" s="150"/>
      <c r="I29" s="150"/>
      <c r="J29" s="150"/>
      <c r="K29" s="150"/>
      <c r="L29" s="150"/>
      <c r="M29" s="150"/>
      <c r="N29" s="69"/>
      <c r="O29" s="69"/>
      <c r="P29" s="69"/>
      <c r="Q29" s="69"/>
      <c r="R29" s="200"/>
      <c r="S29" s="200"/>
      <c r="T29" s="199" t="str">
        <f t="shared" si="4"/>
        <v/>
      </c>
      <c r="U29" s="200"/>
      <c r="V29" s="200"/>
      <c r="W29" s="82">
        <v>0</v>
      </c>
      <c r="X29" s="82">
        <f t="shared" si="5"/>
        <v>0</v>
      </c>
      <c r="Y29" s="193" t="e">
        <f t="shared" si="6"/>
        <v>#N/A</v>
      </c>
      <c r="AH29" s="20"/>
      <c r="AI29" s="80"/>
    </row>
    <row r="30" spans="1:35" s="75" customFormat="1" ht="35.1" customHeight="1" x14ac:dyDescent="0.25">
      <c r="A30" s="67">
        <v>23</v>
      </c>
      <c r="B30" s="146" t="str">
        <f t="shared" si="0"/>
        <v>B</v>
      </c>
      <c r="C30" s="69">
        <f t="shared" si="1"/>
        <v>1</v>
      </c>
      <c r="D30" s="20"/>
      <c r="E30" s="182" t="str">
        <f t="shared" si="2"/>
        <v>Stage B</v>
      </c>
      <c r="F30" s="185" t="str">
        <f t="shared" si="3"/>
        <v>Testing</v>
      </c>
      <c r="G30" s="187"/>
      <c r="H30" s="189"/>
      <c r="I30" s="189"/>
      <c r="J30" s="189"/>
      <c r="K30" s="189"/>
      <c r="L30" s="189"/>
      <c r="M30" s="187"/>
      <c r="N30" s="187"/>
      <c r="O30" s="187"/>
      <c r="P30" s="187"/>
      <c r="Q30" s="187"/>
      <c r="R30" s="201"/>
      <c r="S30" s="201"/>
      <c r="T30" s="199" t="str">
        <f t="shared" si="4"/>
        <v>Stage B</v>
      </c>
      <c r="U30" s="201"/>
      <c r="V30" s="201"/>
      <c r="W30" s="82">
        <v>0</v>
      </c>
      <c r="X30" s="82">
        <f t="shared" si="5"/>
        <v>0</v>
      </c>
      <c r="Y30" s="193" t="e">
        <f t="shared" si="6"/>
        <v>#N/A</v>
      </c>
      <c r="AH30" s="74"/>
      <c r="AI30" s="80"/>
    </row>
    <row r="31" spans="1:35" s="75" customFormat="1" ht="30" customHeight="1" x14ac:dyDescent="0.25">
      <c r="A31" s="67">
        <v>24</v>
      </c>
      <c r="B31" s="146" t="str">
        <f t="shared" si="0"/>
        <v>B.1</v>
      </c>
      <c r="C31" s="69">
        <f t="shared" si="1"/>
        <v>2</v>
      </c>
      <c r="D31" s="20"/>
      <c r="E31" s="181" t="str">
        <f t="shared" si="2"/>
        <v>Step 1</v>
      </c>
      <c r="F31" s="184" t="str">
        <f t="shared" si="3"/>
        <v>Agree testing style and type</v>
      </c>
      <c r="G31" s="184"/>
      <c r="H31" s="184"/>
      <c r="I31" s="184"/>
      <c r="J31" s="184"/>
      <c r="K31" s="184"/>
      <c r="L31" s="184"/>
      <c r="M31" s="184"/>
      <c r="N31" s="184"/>
      <c r="O31" s="184"/>
      <c r="P31" s="184"/>
      <c r="Q31" s="184"/>
      <c r="R31" s="197"/>
      <c r="S31" s="198"/>
      <c r="T31" s="199" t="str">
        <f t="shared" si="4"/>
        <v>Step 1</v>
      </c>
      <c r="U31" s="198"/>
      <c r="V31" s="198"/>
      <c r="W31" s="82">
        <v>0</v>
      </c>
      <c r="X31" s="82">
        <f t="shared" si="5"/>
        <v>0</v>
      </c>
      <c r="Y31" s="193" t="e">
        <f t="shared" si="6"/>
        <v>#N/A</v>
      </c>
      <c r="AH31" s="74"/>
      <c r="AI31" s="80"/>
    </row>
    <row r="32" spans="1:35" s="75" customFormat="1" ht="45" x14ac:dyDescent="0.25">
      <c r="A32" s="67">
        <v>25</v>
      </c>
      <c r="B32" s="146" t="str">
        <f t="shared" si="0"/>
        <v>B.1.01</v>
      </c>
      <c r="C32" s="69">
        <f t="shared" si="1"/>
        <v>5</v>
      </c>
      <c r="D32" s="20"/>
      <c r="E32" s="70" t="str">
        <f t="shared" si="2"/>
        <v>B.1.01</v>
      </c>
      <c r="F32" s="71" t="str">
        <f t="shared" si="3"/>
        <v>Do you determine what style of penetration testing is required (e.g. black, grey or white box testing; internal or external testing) and what type of testing is to be performed?</v>
      </c>
      <c r="G32" s="149"/>
      <c r="H32" s="150"/>
      <c r="I32" s="150"/>
      <c r="J32" s="150"/>
      <c r="K32" s="150"/>
      <c r="L32" s="150"/>
      <c r="M32" s="150"/>
      <c r="N32" s="69"/>
      <c r="O32" s="69"/>
      <c r="P32" s="69"/>
      <c r="Q32" s="69"/>
      <c r="R32" s="200"/>
      <c r="S32" s="200"/>
      <c r="T32" s="199" t="str">
        <f t="shared" si="4"/>
        <v>B.1.01</v>
      </c>
      <c r="U32" s="200"/>
      <c r="V32" s="200"/>
      <c r="W32" s="82">
        <v>1</v>
      </c>
      <c r="X32" s="82">
        <f t="shared" si="5"/>
        <v>1</v>
      </c>
      <c r="Y32" s="193" t="str">
        <f t="shared" si="6"/>
        <v>x 1</v>
      </c>
      <c r="AH32" s="74"/>
      <c r="AI32" s="80"/>
    </row>
    <row r="33" spans="1:35" s="75" customFormat="1" ht="150" x14ac:dyDescent="0.25">
      <c r="A33" s="67">
        <v>26</v>
      </c>
      <c r="B33" s="146" t="str">
        <f t="shared" si="0"/>
        <v/>
      </c>
      <c r="C33" s="20">
        <f t="shared" si="1"/>
        <v>3</v>
      </c>
      <c r="D33" s="20"/>
      <c r="E33" s="70" t="str">
        <f t="shared" si="2"/>
        <v/>
      </c>
      <c r="F33" s="147" t="str">
        <f t="shared" si="3"/>
        <v>When determining the style of penetration testing to be part of the scope, you should: evaluate the need for black, grey or white box testing; consider the use of an ‘external’ penetration test, aimed at IT systems from ‘outside the building’ and / or an internal security test, end-to-end testing (i.e. for people, through data, devices, applications and infrastructure), emerging technologies (e.g. mobile applications); and social engineering. The type of testing to consider as part of the scope should include web application, IT infrastructure and specialised penetration testing, as well as whether or not testing should be performed in live and / or test environments.</v>
      </c>
      <c r="G33" s="149"/>
      <c r="H33" s="150"/>
      <c r="I33" s="150"/>
      <c r="J33" s="150"/>
      <c r="K33" s="150"/>
      <c r="L33" s="150"/>
      <c r="M33" s="150"/>
      <c r="N33" s="69"/>
      <c r="O33" s="69"/>
      <c r="P33" s="69"/>
      <c r="Q33" s="69"/>
      <c r="R33" s="200"/>
      <c r="S33" s="200"/>
      <c r="T33" s="199" t="str">
        <f t="shared" si="4"/>
        <v/>
      </c>
      <c r="U33" s="200"/>
      <c r="V33" s="200"/>
      <c r="W33" s="82">
        <v>0</v>
      </c>
      <c r="X33" s="82">
        <f t="shared" si="5"/>
        <v>0</v>
      </c>
      <c r="Y33" s="193" t="e">
        <f t="shared" si="6"/>
        <v>#N/A</v>
      </c>
      <c r="AH33" s="69"/>
      <c r="AI33" s="80"/>
    </row>
    <row r="34" spans="1:35" s="75" customFormat="1" ht="30" customHeight="1" x14ac:dyDescent="0.25">
      <c r="A34" s="67">
        <v>27</v>
      </c>
      <c r="B34" s="146" t="str">
        <f t="shared" si="0"/>
        <v>B.2</v>
      </c>
      <c r="C34" s="20">
        <f t="shared" si="1"/>
        <v>2</v>
      </c>
      <c r="D34" s="20"/>
      <c r="E34" s="181" t="str">
        <f t="shared" si="2"/>
        <v>Step 2</v>
      </c>
      <c r="F34" s="184" t="str">
        <f t="shared" si="3"/>
        <v>Identify testing constraints</v>
      </c>
      <c r="G34" s="184"/>
      <c r="H34" s="184"/>
      <c r="I34" s="184"/>
      <c r="J34" s="184"/>
      <c r="K34" s="184"/>
      <c r="L34" s="184"/>
      <c r="M34" s="184"/>
      <c r="N34" s="184"/>
      <c r="O34" s="184"/>
      <c r="P34" s="184"/>
      <c r="Q34" s="184"/>
      <c r="R34" s="197"/>
      <c r="S34" s="198"/>
      <c r="T34" s="199" t="str">
        <f t="shared" si="4"/>
        <v>Step 2</v>
      </c>
      <c r="U34" s="198"/>
      <c r="V34" s="198"/>
      <c r="W34" s="82">
        <v>0</v>
      </c>
      <c r="X34" s="82">
        <f t="shared" si="5"/>
        <v>0</v>
      </c>
      <c r="Y34" s="193" t="e">
        <f t="shared" si="6"/>
        <v>#N/A</v>
      </c>
      <c r="AI34" s="80"/>
    </row>
    <row r="35" spans="1:35" s="75" customFormat="1" ht="30" x14ac:dyDescent="0.25">
      <c r="A35" s="67">
        <v>28</v>
      </c>
      <c r="B35" s="146" t="str">
        <f t="shared" si="0"/>
        <v>B.2.01</v>
      </c>
      <c r="C35" s="20">
        <f t="shared" si="1"/>
        <v>5</v>
      </c>
      <c r="D35" s="20"/>
      <c r="E35" s="70" t="str">
        <f t="shared" si="2"/>
        <v>B.2.01</v>
      </c>
      <c r="F35" s="71" t="str">
        <f t="shared" si="3"/>
        <v>Do you identify any testing constraints associated with planned penetration testing?</v>
      </c>
      <c r="G35" s="149"/>
      <c r="H35" s="150"/>
      <c r="I35" s="150"/>
      <c r="J35" s="150"/>
      <c r="K35" s="150"/>
      <c r="L35" s="150"/>
      <c r="M35" s="150"/>
      <c r="N35" s="69"/>
      <c r="O35" s="69"/>
      <c r="P35" s="69"/>
      <c r="Q35" s="69"/>
      <c r="R35" s="200"/>
      <c r="S35" s="200"/>
      <c r="T35" s="199" t="str">
        <f t="shared" si="4"/>
        <v>B.2.01</v>
      </c>
      <c r="U35" s="200"/>
      <c r="V35" s="200"/>
      <c r="W35" s="82">
        <v>1</v>
      </c>
      <c r="X35" s="82">
        <f t="shared" si="5"/>
        <v>1</v>
      </c>
      <c r="Y35" s="193" t="str">
        <f t="shared" si="6"/>
        <v>x 1</v>
      </c>
      <c r="AI35" s="80"/>
    </row>
    <row r="36" spans="1:35" s="75" customFormat="1" ht="60" x14ac:dyDescent="0.25">
      <c r="A36" s="67">
        <v>29</v>
      </c>
      <c r="B36" s="146" t="str">
        <f t="shared" si="0"/>
        <v/>
      </c>
      <c r="C36" s="20">
        <f t="shared" si="1"/>
        <v>3</v>
      </c>
      <c r="D36" s="20"/>
      <c r="E36" s="70" t="str">
        <f t="shared" si="2"/>
        <v/>
      </c>
      <c r="F36" s="147" t="str">
        <f t="shared" si="3"/>
        <v>Testing constraints can include: aspects of the business that cannot be tested due to operational and technical limitations; legal, resourcing or time restrictions; and the likelihood that most penetration testing will not find all vulnerabilities of a given environment.</v>
      </c>
      <c r="G36" s="149"/>
      <c r="H36" s="150"/>
      <c r="I36" s="150"/>
      <c r="J36" s="150"/>
      <c r="K36" s="150"/>
      <c r="L36" s="150"/>
      <c r="M36" s="150"/>
      <c r="N36" s="69"/>
      <c r="O36" s="69"/>
      <c r="P36" s="69"/>
      <c r="Q36" s="69"/>
      <c r="R36" s="200"/>
      <c r="S36" s="200"/>
      <c r="T36" s="199" t="str">
        <f t="shared" si="4"/>
        <v/>
      </c>
      <c r="U36" s="200"/>
      <c r="V36" s="200"/>
      <c r="W36" s="82">
        <v>0</v>
      </c>
      <c r="X36" s="82">
        <f t="shared" si="5"/>
        <v>0</v>
      </c>
      <c r="Y36" s="193" t="e">
        <f t="shared" si="6"/>
        <v>#N/A</v>
      </c>
      <c r="AH36" s="69"/>
      <c r="AI36" s="80"/>
    </row>
    <row r="37" spans="1:35" s="75" customFormat="1" ht="30" customHeight="1" x14ac:dyDescent="0.25">
      <c r="A37" s="67">
        <v>30</v>
      </c>
      <c r="B37" s="146" t="str">
        <f t="shared" si="0"/>
        <v>B.3</v>
      </c>
      <c r="C37" s="20">
        <f t="shared" si="1"/>
        <v>2</v>
      </c>
      <c r="D37" s="20"/>
      <c r="E37" s="181" t="str">
        <f t="shared" si="2"/>
        <v>Step 3</v>
      </c>
      <c r="F37" s="184" t="str">
        <f t="shared" si="3"/>
        <v>Produce scope statements</v>
      </c>
      <c r="G37" s="184"/>
      <c r="H37" s="184"/>
      <c r="I37" s="184"/>
      <c r="J37" s="184"/>
      <c r="K37" s="184"/>
      <c r="L37" s="184"/>
      <c r="M37" s="184"/>
      <c r="N37" s="184"/>
      <c r="O37" s="184"/>
      <c r="P37" s="184"/>
      <c r="Q37" s="184"/>
      <c r="R37" s="197"/>
      <c r="S37" s="198"/>
      <c r="T37" s="199" t="str">
        <f t="shared" si="4"/>
        <v>Step 3</v>
      </c>
      <c r="U37" s="198"/>
      <c r="V37" s="198"/>
      <c r="W37" s="82">
        <v>0</v>
      </c>
      <c r="X37" s="82">
        <f t="shared" si="5"/>
        <v>0</v>
      </c>
      <c r="Y37" s="193" t="e">
        <f t="shared" si="6"/>
        <v>#N/A</v>
      </c>
      <c r="AI37" s="80"/>
    </row>
    <row r="38" spans="1:35" s="75" customFormat="1" ht="45" x14ac:dyDescent="0.25">
      <c r="A38" s="67">
        <v>31</v>
      </c>
      <c r="B38" s="146" t="str">
        <f t="shared" si="0"/>
        <v>B.3.01</v>
      </c>
      <c r="C38" s="20">
        <f t="shared" si="1"/>
        <v>5</v>
      </c>
      <c r="D38" s="20"/>
      <c r="E38" s="70" t="str">
        <f t="shared" si="2"/>
        <v>B.3.01</v>
      </c>
      <c r="F38" s="71" t="str">
        <f t="shared" si="3"/>
        <v>Do you produce formal scope statements for penetration testing, supported by defined reporting requirements, prior to tests commencing?</v>
      </c>
      <c r="G38" s="149"/>
      <c r="H38" s="150"/>
      <c r="I38" s="150"/>
      <c r="J38" s="150"/>
      <c r="K38" s="150"/>
      <c r="L38" s="150"/>
      <c r="M38" s="150"/>
      <c r="N38" s="69"/>
      <c r="O38" s="69"/>
      <c r="P38" s="69"/>
      <c r="Q38" s="69"/>
      <c r="R38" s="200"/>
      <c r="S38" s="200"/>
      <c r="T38" s="199" t="str">
        <f t="shared" si="4"/>
        <v>B.3.01</v>
      </c>
      <c r="U38" s="200"/>
      <c r="V38" s="200"/>
      <c r="W38" s="82">
        <v>1</v>
      </c>
      <c r="X38" s="82">
        <f t="shared" si="5"/>
        <v>1</v>
      </c>
      <c r="Y38" s="193" t="str">
        <f t="shared" si="6"/>
        <v>x 1</v>
      </c>
      <c r="AI38" s="80"/>
    </row>
    <row r="39" spans="1:35" s="75" customFormat="1" ht="135" x14ac:dyDescent="0.25">
      <c r="A39" s="67">
        <v>32</v>
      </c>
      <c r="B39" s="146" t="str">
        <f t="shared" si="0"/>
        <v/>
      </c>
      <c r="C39" s="20">
        <f t="shared" si="1"/>
        <v>3</v>
      </c>
      <c r="D39" s="20"/>
      <c r="E39" s="70" t="str">
        <f t="shared" si="2"/>
        <v/>
      </c>
      <c r="F39" s="147" t="str">
        <f t="shared" si="3"/>
        <v>The scope of penetration tests should: be recorded in a formal document, such as a scope statement, that is signed-off by all relevant parties; include a definition of the target environment; specify resourcing requirements; define liabilities; include follow-up activities; and authorise testing to be conducted. Reporting requirements should specify the format and type of content, when the test report will be delivered, how the test report will be delivered (electronic and / or physical); and arrangements should be made to ensure that your service provider will meet your requirements in a satisfactory manner.</v>
      </c>
      <c r="G39" s="149"/>
      <c r="H39" s="150"/>
      <c r="I39" s="150"/>
      <c r="J39" s="150"/>
      <c r="K39" s="150"/>
      <c r="L39" s="150"/>
      <c r="M39" s="150"/>
      <c r="N39" s="69"/>
      <c r="O39" s="69"/>
      <c r="P39" s="69"/>
      <c r="Q39" s="69"/>
      <c r="R39" s="200"/>
      <c r="S39" s="200"/>
      <c r="T39" s="199" t="str">
        <f t="shared" si="4"/>
        <v/>
      </c>
      <c r="U39" s="200"/>
      <c r="V39" s="200"/>
      <c r="W39" s="82">
        <v>0</v>
      </c>
      <c r="X39" s="82">
        <f t="shared" si="5"/>
        <v>0</v>
      </c>
      <c r="Y39" s="193" t="e">
        <f t="shared" si="6"/>
        <v>#N/A</v>
      </c>
      <c r="AH39" s="69"/>
      <c r="AI39" s="80"/>
    </row>
    <row r="40" spans="1:35" s="75" customFormat="1" ht="30" customHeight="1" x14ac:dyDescent="0.25">
      <c r="A40" s="67">
        <v>33</v>
      </c>
      <c r="B40" s="146" t="str">
        <f t="shared" ref="B40:B71" si="7">VLOOKUP(A40,contentrefmockup,2,FALSE)</f>
        <v>B.4</v>
      </c>
      <c r="C40" s="20">
        <f t="shared" ref="C40:C71" si="8">VLOOKUP(A40,contentrefmockup,15,FALSE)</f>
        <v>2</v>
      </c>
      <c r="D40" s="20"/>
      <c r="E40" s="181" t="str">
        <f t="shared" ref="E40:E71" si="9">IF(C40=1,"Stage "&amp;B40,IF(C40=2,"Step "&amp;VLOOKUP(A40,contentrefmockup,4,FALSE),B40))</f>
        <v>Step 4</v>
      </c>
      <c r="F40" s="184" t="str">
        <f t="shared" ref="F40:F71" si="10">VLOOKUP(A40,contentrefmockup,7,FALSE)</f>
        <v>Establish a management assurance framework</v>
      </c>
      <c r="G40" s="184"/>
      <c r="H40" s="184"/>
      <c r="I40" s="184"/>
      <c r="J40" s="184"/>
      <c r="K40" s="184"/>
      <c r="L40" s="184"/>
      <c r="M40" s="184"/>
      <c r="N40" s="184"/>
      <c r="O40" s="184"/>
      <c r="P40" s="184"/>
      <c r="Q40" s="184"/>
      <c r="R40" s="197"/>
      <c r="S40" s="198"/>
      <c r="T40" s="199" t="str">
        <f t="shared" ref="T40:T71" si="11">E40</f>
        <v>Step 4</v>
      </c>
      <c r="U40" s="198"/>
      <c r="V40" s="198"/>
      <c r="W40" s="82">
        <v>0</v>
      </c>
      <c r="X40" s="82">
        <f t="shared" ref="X40:X71" si="12">VLOOKUP(A40,contentrefmockup,8,FALSE)</f>
        <v>0</v>
      </c>
      <c r="Y40" s="193" t="e">
        <f t="shared" ref="Y40:Y71" si="13">VLOOKUP(W40,weighting_response_reverse,2,FALSE)</f>
        <v>#N/A</v>
      </c>
      <c r="AI40" s="80"/>
    </row>
    <row r="41" spans="1:35" s="75" customFormat="1" ht="75" x14ac:dyDescent="0.25">
      <c r="A41" s="67">
        <v>34</v>
      </c>
      <c r="B41" s="146" t="str">
        <f t="shared" si="7"/>
        <v>B.4.01</v>
      </c>
      <c r="C41" s="20">
        <f t="shared" si="8"/>
        <v>5</v>
      </c>
      <c r="D41" s="20"/>
      <c r="E41" s="70" t="str">
        <f t="shared" si="9"/>
        <v>B.4.01</v>
      </c>
      <c r="F41" s="71" t="str">
        <f t="shared" si="10"/>
        <v>Have you created a documented management assurance framework to help govern all aspects of the penetration test, ensuring that testing meets requirements and testing scope is documented in a comprehensive agreement, defined in a legally binding contact and signed off by all relevant parties before testing starts?</v>
      </c>
      <c r="G41" s="149"/>
      <c r="H41" s="150"/>
      <c r="I41" s="150"/>
      <c r="J41" s="150"/>
      <c r="K41" s="150"/>
      <c r="L41" s="150"/>
      <c r="M41" s="150"/>
      <c r="N41" s="69"/>
      <c r="O41" s="69"/>
      <c r="P41" s="69"/>
      <c r="Q41" s="69"/>
      <c r="R41" s="200"/>
      <c r="S41" s="200"/>
      <c r="T41" s="199" t="str">
        <f t="shared" si="11"/>
        <v>B.4.01</v>
      </c>
      <c r="U41" s="200"/>
      <c r="V41" s="200"/>
      <c r="W41" s="82">
        <v>1</v>
      </c>
      <c r="X41" s="82">
        <f t="shared" si="12"/>
        <v>1</v>
      </c>
      <c r="Y41" s="193" t="str">
        <f t="shared" si="13"/>
        <v>x 1</v>
      </c>
      <c r="AI41" s="80"/>
    </row>
    <row r="42" spans="1:35" s="75" customFormat="1" ht="105" x14ac:dyDescent="0.25">
      <c r="A42" s="67">
        <v>35</v>
      </c>
      <c r="B42" s="146" t="str">
        <f t="shared" si="7"/>
        <v/>
      </c>
      <c r="C42" s="20">
        <f t="shared" si="8"/>
        <v>3</v>
      </c>
      <c r="D42" s="20"/>
      <c r="E42" s="70" t="str">
        <f t="shared" si="9"/>
        <v/>
      </c>
      <c r="F42" s="147" t="str">
        <f t="shared" si="10"/>
        <v>The management assurance framework should provide assurance to stakeholders that: the objectives of penetration tests are achieved; contracts with service providers are defined, agreed, signed off and monitored; risks to your organisation (e.g. degradation or loss of services; disclosure of sensitive information) are kept to a minimum; changes to testing scope are managed effectively; and that any problems are resolved satisfactorily.</v>
      </c>
      <c r="G42" s="149"/>
      <c r="H42" s="150"/>
      <c r="I42" s="150"/>
      <c r="J42" s="150"/>
      <c r="K42" s="150"/>
      <c r="L42" s="150"/>
      <c r="M42" s="150"/>
      <c r="N42" s="69"/>
      <c r="O42" s="69"/>
      <c r="P42" s="69"/>
      <c r="Q42" s="69"/>
      <c r="R42" s="200"/>
      <c r="S42" s="200"/>
      <c r="T42" s="199" t="str">
        <f t="shared" si="11"/>
        <v/>
      </c>
      <c r="U42" s="200"/>
      <c r="V42" s="200"/>
      <c r="W42" s="82">
        <v>0</v>
      </c>
      <c r="X42" s="82">
        <f t="shared" si="12"/>
        <v>0</v>
      </c>
      <c r="Y42" s="193" t="e">
        <f t="shared" si="13"/>
        <v>#N/A</v>
      </c>
      <c r="AH42" s="69"/>
      <c r="AI42" s="80"/>
    </row>
    <row r="43" spans="1:35" s="75" customFormat="1" ht="165" x14ac:dyDescent="0.25">
      <c r="A43" s="67">
        <v>36</v>
      </c>
      <c r="B43" s="146" t="str">
        <f t="shared" si="7"/>
        <v/>
      </c>
      <c r="C43" s="20">
        <f t="shared" si="8"/>
        <v>3</v>
      </c>
      <c r="D43" s="20"/>
      <c r="E43" s="70" t="str">
        <f t="shared" si="9"/>
        <v/>
      </c>
      <c r="F43" s="147" t="str">
        <f t="shared" si="10"/>
        <v>Your assurance process should help you to effectively monitor requirements definitions, planning and preparation, as well as performance of the actual testing; and define control processes over all important management aspects of testing. The penetration testing contract should specify explicit exclusions (e.g. systems that are out of scope); any technical and operational constraints; roles and responsibilities for all parties’ concerned; and specific legal / regulatory requirements; together with specific timings and checkpoints; a problem escalation process; post-test corrective action strategy and action plan development; supported by agreed pricing and terms of business.</v>
      </c>
      <c r="G43" s="149"/>
      <c r="H43" s="150"/>
      <c r="I43" s="150"/>
      <c r="J43" s="150"/>
      <c r="K43" s="150"/>
      <c r="L43" s="150"/>
      <c r="M43" s="150"/>
      <c r="N43" s="69"/>
      <c r="O43" s="69"/>
      <c r="P43" s="69"/>
      <c r="Q43" s="69"/>
      <c r="R43" s="200"/>
      <c r="S43" s="200"/>
      <c r="T43" s="199" t="str">
        <f t="shared" si="11"/>
        <v/>
      </c>
      <c r="U43" s="200"/>
      <c r="V43" s="200"/>
      <c r="W43" s="82">
        <v>0</v>
      </c>
      <c r="X43" s="82">
        <f t="shared" si="12"/>
        <v>0</v>
      </c>
      <c r="Y43" s="193" t="e">
        <f t="shared" si="13"/>
        <v>#N/A</v>
      </c>
      <c r="AH43" s="69"/>
      <c r="AI43" s="80"/>
    </row>
    <row r="44" spans="1:35" s="75" customFormat="1" ht="30" customHeight="1" x14ac:dyDescent="0.25">
      <c r="A44" s="67">
        <v>37</v>
      </c>
      <c r="B44" s="146" t="str">
        <f t="shared" si="7"/>
        <v>B.5</v>
      </c>
      <c r="C44" s="20">
        <f t="shared" si="8"/>
        <v>2</v>
      </c>
      <c r="D44" s="20"/>
      <c r="E44" s="181" t="str">
        <f t="shared" si="9"/>
        <v>Step 5</v>
      </c>
      <c r="F44" s="184" t="str">
        <f t="shared" si="10"/>
        <v>Implement management control processes</v>
      </c>
      <c r="G44" s="184"/>
      <c r="H44" s="184"/>
      <c r="I44" s="184"/>
      <c r="J44" s="184"/>
      <c r="K44" s="184"/>
      <c r="L44" s="184"/>
      <c r="M44" s="184"/>
      <c r="N44" s="184"/>
      <c r="O44" s="184"/>
      <c r="P44" s="184"/>
      <c r="Q44" s="184"/>
      <c r="R44" s="197"/>
      <c r="S44" s="198"/>
      <c r="T44" s="199" t="str">
        <f t="shared" si="11"/>
        <v>Step 5</v>
      </c>
      <c r="U44" s="198"/>
      <c r="V44" s="198"/>
      <c r="W44" s="82">
        <v>0</v>
      </c>
      <c r="X44" s="82">
        <f t="shared" si="12"/>
        <v>0</v>
      </c>
      <c r="Y44" s="193" t="e">
        <f t="shared" si="13"/>
        <v>#N/A</v>
      </c>
      <c r="AI44" s="80"/>
    </row>
    <row r="45" spans="1:35" s="75" customFormat="1" ht="30" x14ac:dyDescent="0.25">
      <c r="A45" s="67">
        <v>38</v>
      </c>
      <c r="B45" s="146" t="str">
        <f t="shared" si="7"/>
        <v>B.5.01</v>
      </c>
      <c r="C45" s="20">
        <f t="shared" si="8"/>
        <v>5</v>
      </c>
      <c r="D45" s="20"/>
      <c r="E45" s="70" t="str">
        <f t="shared" si="9"/>
        <v>B.5.01</v>
      </c>
      <c r="F45" s="71" t="str">
        <f t="shared" si="10"/>
        <v>Have you implemented effective risk, change and problem management processes that apply to all aspects of penetration testing?</v>
      </c>
      <c r="G45" s="149"/>
      <c r="H45" s="150"/>
      <c r="I45" s="150"/>
      <c r="J45" s="150"/>
      <c r="K45" s="150"/>
      <c r="L45" s="150"/>
      <c r="M45" s="150"/>
      <c r="N45" s="69"/>
      <c r="O45" s="69"/>
      <c r="P45" s="69"/>
      <c r="Q45" s="69"/>
      <c r="R45" s="200"/>
      <c r="S45" s="200"/>
      <c r="T45" s="199" t="str">
        <f t="shared" si="11"/>
        <v>B.5.01</v>
      </c>
      <c r="U45" s="200"/>
      <c r="V45" s="200"/>
      <c r="W45" s="82">
        <v>1</v>
      </c>
      <c r="X45" s="82">
        <f t="shared" si="12"/>
        <v>1</v>
      </c>
      <c r="Y45" s="193" t="str">
        <f t="shared" si="13"/>
        <v>x 1</v>
      </c>
      <c r="AI45" s="80"/>
    </row>
    <row r="46" spans="1:35" s="75" customFormat="1" ht="180" x14ac:dyDescent="0.25">
      <c r="A46" s="67">
        <v>39</v>
      </c>
      <c r="B46" s="146" t="str">
        <f t="shared" si="7"/>
        <v/>
      </c>
      <c r="C46" s="20">
        <f t="shared" si="8"/>
        <v>3</v>
      </c>
      <c r="D46" s="20"/>
      <c r="E46" s="70" t="str">
        <f t="shared" si="9"/>
        <v/>
      </c>
      <c r="F46" s="147" t="str">
        <f t="shared" si="10"/>
        <v>Methods of keeping risks to a minimum include: carrying out planning in advance; having a clear definition of scope; using predefined escalation procedures; supported by the use of individual testers with relevant experience and qualifications, working for certified organisations. An effective change management process should: cover changes to the scope of the penetration test, organisational controls and the individuals on the testing team; ensure that all parties involved adhere to the process and that changes to penetration testing are made quickly and efficiently. An effective problem management process should cover: tests not working as planned; problems caused as a result of the penetration testing; breaches of contract or codes of conduct; and effective, timely, problem resolution.</v>
      </c>
      <c r="G46" s="149"/>
      <c r="H46" s="150"/>
      <c r="I46" s="150"/>
      <c r="J46" s="150"/>
      <c r="K46" s="150"/>
      <c r="L46" s="150"/>
      <c r="M46" s="150"/>
      <c r="N46" s="69"/>
      <c r="O46" s="69"/>
      <c r="P46" s="69"/>
      <c r="Q46" s="69"/>
      <c r="R46" s="200"/>
      <c r="S46" s="200"/>
      <c r="T46" s="199" t="str">
        <f t="shared" si="11"/>
        <v/>
      </c>
      <c r="U46" s="200"/>
      <c r="V46" s="200"/>
      <c r="W46" s="82">
        <v>0</v>
      </c>
      <c r="X46" s="82">
        <f t="shared" si="12"/>
        <v>0</v>
      </c>
      <c r="Y46" s="193" t="e">
        <f t="shared" si="13"/>
        <v>#N/A</v>
      </c>
      <c r="AH46" s="69"/>
      <c r="AI46" s="80"/>
    </row>
    <row r="47" spans="1:35" s="75" customFormat="1" ht="30" customHeight="1" x14ac:dyDescent="0.25">
      <c r="A47" s="67">
        <v>40</v>
      </c>
      <c r="B47" s="146" t="str">
        <f t="shared" si="7"/>
        <v>B.6</v>
      </c>
      <c r="C47" s="20">
        <f t="shared" si="8"/>
        <v>2</v>
      </c>
      <c r="D47" s="20"/>
      <c r="E47" s="181" t="str">
        <f t="shared" si="9"/>
        <v>Step 6</v>
      </c>
      <c r="F47" s="184" t="str">
        <f t="shared" si="10"/>
        <v>Use an effective testing methodology</v>
      </c>
      <c r="G47" s="184"/>
      <c r="H47" s="184"/>
      <c r="I47" s="184"/>
      <c r="J47" s="184"/>
      <c r="K47" s="184"/>
      <c r="L47" s="184"/>
      <c r="M47" s="184"/>
      <c r="N47" s="184"/>
      <c r="O47" s="184"/>
      <c r="P47" s="184"/>
      <c r="Q47" s="184"/>
      <c r="R47" s="197"/>
      <c r="S47" s="198"/>
      <c r="T47" s="199" t="str">
        <f t="shared" si="11"/>
        <v>Step 6</v>
      </c>
      <c r="U47" s="198"/>
      <c r="V47" s="198"/>
      <c r="W47" s="82">
        <v>0</v>
      </c>
      <c r="X47" s="82">
        <f t="shared" si="12"/>
        <v>0</v>
      </c>
      <c r="Y47" s="193" t="e">
        <f t="shared" si="13"/>
        <v>#N/A</v>
      </c>
      <c r="AI47" s="80"/>
    </row>
    <row r="48" spans="1:35" s="75" customFormat="1" ht="30" x14ac:dyDescent="0.25">
      <c r="A48" s="67">
        <v>41</v>
      </c>
      <c r="B48" s="146" t="str">
        <f t="shared" si="7"/>
        <v>B.6.01</v>
      </c>
      <c r="C48" s="20">
        <f t="shared" si="8"/>
        <v>5</v>
      </c>
      <c r="D48" s="20"/>
      <c r="E48" s="70" t="str">
        <f t="shared" si="9"/>
        <v>B.6.01</v>
      </c>
      <c r="F48" s="71" t="str">
        <f t="shared" si="10"/>
        <v>When conducting penetration tests do you use a systematic, structured testing methodology?</v>
      </c>
      <c r="G48" s="149"/>
      <c r="H48" s="150"/>
      <c r="I48" s="150"/>
      <c r="J48" s="150"/>
      <c r="K48" s="150"/>
      <c r="L48" s="150"/>
      <c r="M48" s="150"/>
      <c r="N48" s="69"/>
      <c r="O48" s="69"/>
      <c r="P48" s="69"/>
      <c r="Q48" s="69"/>
      <c r="R48" s="200"/>
      <c r="S48" s="200"/>
      <c r="T48" s="199" t="str">
        <f t="shared" si="11"/>
        <v>B.6.01</v>
      </c>
      <c r="U48" s="200"/>
      <c r="V48" s="200"/>
      <c r="W48" s="82">
        <v>1</v>
      </c>
      <c r="X48" s="82">
        <f t="shared" si="12"/>
        <v>1</v>
      </c>
      <c r="Y48" s="193" t="str">
        <f t="shared" si="13"/>
        <v>x 1</v>
      </c>
      <c r="AI48" s="80"/>
    </row>
    <row r="49" spans="1:35" s="75" customFormat="1" ht="90" x14ac:dyDescent="0.25">
      <c r="A49" s="67">
        <v>42</v>
      </c>
      <c r="B49" s="146" t="str">
        <f t="shared" si="7"/>
        <v/>
      </c>
      <c r="C49" s="20">
        <f t="shared" si="8"/>
        <v>3</v>
      </c>
      <c r="D49" s="20"/>
      <c r="E49" s="70" t="str">
        <f t="shared" si="9"/>
        <v/>
      </c>
      <c r="F49" s="147" t="str">
        <f t="shared" si="10"/>
        <v>A systematic, structured testing methodology should: be based on proven approaches designed by authoritative publicly available sources; detail specific evaluation or testing criteria; adhere to a standard common language and scope for performing penetration testing; and specify a required approach (or approaches) for carrying out all stages of a comprehensive end-to-end penetration test.</v>
      </c>
      <c r="G49" s="149"/>
      <c r="H49" s="150"/>
      <c r="I49" s="150"/>
      <c r="J49" s="150"/>
      <c r="K49" s="150"/>
      <c r="L49" s="150"/>
      <c r="M49" s="150"/>
      <c r="N49" s="69"/>
      <c r="O49" s="69"/>
      <c r="P49" s="69"/>
      <c r="Q49" s="69"/>
      <c r="R49" s="200"/>
      <c r="S49" s="200"/>
      <c r="T49" s="199" t="str">
        <f t="shared" si="11"/>
        <v/>
      </c>
      <c r="U49" s="200"/>
      <c r="V49" s="200"/>
      <c r="W49" s="82">
        <v>0</v>
      </c>
      <c r="X49" s="82">
        <f t="shared" si="12"/>
        <v>0</v>
      </c>
      <c r="Y49" s="193" t="e">
        <f t="shared" si="13"/>
        <v>#N/A</v>
      </c>
      <c r="AH49" s="69"/>
      <c r="AI49" s="80"/>
    </row>
    <row r="50" spans="1:35" s="75" customFormat="1" ht="30" customHeight="1" x14ac:dyDescent="0.25">
      <c r="A50" s="67">
        <v>43</v>
      </c>
      <c r="B50" s="146" t="str">
        <f t="shared" si="7"/>
        <v>B.7</v>
      </c>
      <c r="C50" s="20">
        <f t="shared" si="8"/>
        <v>2</v>
      </c>
      <c r="D50" s="20"/>
      <c r="E50" s="181" t="str">
        <f t="shared" si="9"/>
        <v>Step 7</v>
      </c>
      <c r="F50" s="184" t="str">
        <f t="shared" si="10"/>
        <v>Conduct sufficient research and planning</v>
      </c>
      <c r="G50" s="184"/>
      <c r="H50" s="184"/>
      <c r="I50" s="184"/>
      <c r="J50" s="184"/>
      <c r="K50" s="184"/>
      <c r="L50" s="184"/>
      <c r="M50" s="184"/>
      <c r="N50" s="184"/>
      <c r="O50" s="184"/>
      <c r="P50" s="184"/>
      <c r="Q50" s="184"/>
      <c r="R50" s="197"/>
      <c r="S50" s="198"/>
      <c r="T50" s="199" t="str">
        <f t="shared" si="11"/>
        <v>Step 7</v>
      </c>
      <c r="U50" s="198"/>
      <c r="V50" s="198"/>
      <c r="W50" s="82">
        <v>0</v>
      </c>
      <c r="X50" s="82">
        <f t="shared" si="12"/>
        <v>0</v>
      </c>
      <c r="Y50" s="193" t="e">
        <f t="shared" si="13"/>
        <v>#N/A</v>
      </c>
      <c r="AI50" s="80"/>
    </row>
    <row r="51" spans="1:35" s="75" customFormat="1" ht="60" x14ac:dyDescent="0.25">
      <c r="A51" s="67">
        <v>44</v>
      </c>
      <c r="B51" s="146" t="str">
        <f t="shared" si="7"/>
        <v>B.7.01</v>
      </c>
      <c r="C51" s="20">
        <f t="shared" si="8"/>
        <v>5</v>
      </c>
      <c r="D51" s="20"/>
      <c r="E51" s="70" t="str">
        <f t="shared" si="9"/>
        <v>B.7.01</v>
      </c>
      <c r="F51" s="71" t="str">
        <f t="shared" si="10"/>
        <v>Are detailed test plans produced to provide guidelines for the penetration testing to be undertaken, supported by research to imitate the research activities that a potential attacker could undertake to find out as much about the target environment and how it works as possible?</v>
      </c>
      <c r="G51" s="149"/>
      <c r="H51" s="150"/>
      <c r="I51" s="150"/>
      <c r="J51" s="150"/>
      <c r="K51" s="150"/>
      <c r="L51" s="150"/>
      <c r="M51" s="150"/>
      <c r="N51" s="69"/>
      <c r="O51" s="69"/>
      <c r="P51" s="69"/>
      <c r="Q51" s="69"/>
      <c r="R51" s="200"/>
      <c r="S51" s="200"/>
      <c r="T51" s="199" t="str">
        <f t="shared" si="11"/>
        <v>B.7.01</v>
      </c>
      <c r="U51" s="200"/>
      <c r="V51" s="200"/>
      <c r="W51" s="82">
        <v>1</v>
      </c>
      <c r="X51" s="82">
        <f t="shared" si="12"/>
        <v>1</v>
      </c>
      <c r="Y51" s="193" t="str">
        <f t="shared" si="13"/>
        <v>x 1</v>
      </c>
      <c r="AI51" s="80"/>
    </row>
    <row r="52" spans="1:35" s="75" customFormat="1" ht="75" x14ac:dyDescent="0.25">
      <c r="A52" s="67">
        <v>45</v>
      </c>
      <c r="B52" s="146" t="str">
        <f t="shared" si="7"/>
        <v/>
      </c>
      <c r="C52" s="20">
        <f t="shared" si="8"/>
        <v>3</v>
      </c>
      <c r="D52" s="20"/>
      <c r="E52" s="70" t="str">
        <f t="shared" si="9"/>
        <v/>
      </c>
      <c r="F52" s="147" t="str">
        <f t="shared" si="10"/>
        <v>Detailed test plans should be produced by your testing service provider; agreed with your organisation prior to any testing commencing; specify what will actually be done during the test itself; and help to assure the process for a proper security test without creating misunderstandings, misconceptions, or false expectations.</v>
      </c>
      <c r="G52" s="149"/>
      <c r="H52" s="150"/>
      <c r="I52" s="150"/>
      <c r="J52" s="150"/>
      <c r="K52" s="150"/>
      <c r="L52" s="150"/>
      <c r="M52" s="150"/>
      <c r="N52" s="69"/>
      <c r="O52" s="69"/>
      <c r="P52" s="69"/>
      <c r="Q52" s="69"/>
      <c r="R52" s="200"/>
      <c r="S52" s="200"/>
      <c r="T52" s="199" t="str">
        <f t="shared" si="11"/>
        <v/>
      </c>
      <c r="U52" s="200"/>
      <c r="V52" s="200"/>
      <c r="W52" s="82">
        <v>0</v>
      </c>
      <c r="X52" s="82">
        <f t="shared" si="12"/>
        <v>0</v>
      </c>
      <c r="Y52" s="193" t="e">
        <f t="shared" si="13"/>
        <v>#N/A</v>
      </c>
      <c r="AH52" s="69"/>
      <c r="AI52" s="80"/>
    </row>
    <row r="53" spans="1:35" s="75" customFormat="1" ht="30" customHeight="1" x14ac:dyDescent="0.25">
      <c r="A53" s="67">
        <v>46</v>
      </c>
      <c r="B53" s="146" t="str">
        <f t="shared" si="7"/>
        <v>B.8</v>
      </c>
      <c r="C53" s="20">
        <f t="shared" si="8"/>
        <v>2</v>
      </c>
      <c r="D53" s="20"/>
      <c r="E53" s="181" t="str">
        <f t="shared" si="9"/>
        <v>Step 8</v>
      </c>
      <c r="F53" s="184" t="str">
        <f t="shared" si="10"/>
        <v>Identify and exploit vulnerabilities</v>
      </c>
      <c r="G53" s="184"/>
      <c r="H53" s="184"/>
      <c r="I53" s="184"/>
      <c r="J53" s="184"/>
      <c r="K53" s="184"/>
      <c r="L53" s="184"/>
      <c r="M53" s="184"/>
      <c r="N53" s="184"/>
      <c r="O53" s="184"/>
      <c r="P53" s="184"/>
      <c r="Q53" s="184"/>
      <c r="R53" s="197"/>
      <c r="S53" s="198"/>
      <c r="T53" s="199" t="str">
        <f t="shared" si="11"/>
        <v>Step 8</v>
      </c>
      <c r="U53" s="198"/>
      <c r="V53" s="198"/>
      <c r="W53" s="82">
        <v>0</v>
      </c>
      <c r="X53" s="82">
        <f t="shared" si="12"/>
        <v>0</v>
      </c>
      <c r="Y53" s="193" t="e">
        <f t="shared" si="13"/>
        <v>#N/A</v>
      </c>
      <c r="AI53" s="80"/>
    </row>
    <row r="54" spans="1:35" s="75" customFormat="1" ht="45" x14ac:dyDescent="0.25">
      <c r="A54" s="67">
        <v>47</v>
      </c>
      <c r="B54" s="146" t="str">
        <f t="shared" si="7"/>
        <v>B.8.01</v>
      </c>
      <c r="C54" s="20">
        <f t="shared" si="8"/>
        <v>5</v>
      </c>
      <c r="D54" s="20"/>
      <c r="E54" s="70" t="str">
        <f t="shared" si="9"/>
        <v>B.8.01</v>
      </c>
      <c r="F54" s="71" t="str">
        <f t="shared" si="10"/>
        <v>Does penetration testing include testers identifying a range of potential vulnerabilities in target systems, then trying to exploit the vulnerabilities identified and actually penetrate the target system?</v>
      </c>
      <c r="G54" s="149"/>
      <c r="H54" s="150"/>
      <c r="I54" s="150"/>
      <c r="J54" s="150"/>
      <c r="K54" s="150"/>
      <c r="L54" s="150"/>
      <c r="M54" s="150"/>
      <c r="N54" s="69"/>
      <c r="O54" s="69"/>
      <c r="P54" s="69"/>
      <c r="Q54" s="69"/>
      <c r="R54" s="200"/>
      <c r="S54" s="200"/>
      <c r="T54" s="199" t="str">
        <f t="shared" si="11"/>
        <v>B.8.01</v>
      </c>
      <c r="U54" s="200"/>
      <c r="V54" s="200"/>
      <c r="W54" s="82">
        <v>1</v>
      </c>
      <c r="X54" s="82">
        <f t="shared" si="12"/>
        <v>1</v>
      </c>
      <c r="Y54" s="193" t="str">
        <f t="shared" si="13"/>
        <v>x 1</v>
      </c>
      <c r="AI54" s="80"/>
    </row>
    <row r="55" spans="1:35" s="75" customFormat="1" ht="105" x14ac:dyDescent="0.25">
      <c r="A55" s="67">
        <v>48</v>
      </c>
      <c r="B55" s="146" t="str">
        <f t="shared" si="7"/>
        <v/>
      </c>
      <c r="C55" s="20">
        <f t="shared" si="8"/>
        <v>3</v>
      </c>
      <c r="D55" s="20"/>
      <c r="E55" s="70" t="str">
        <f t="shared" si="9"/>
        <v/>
      </c>
      <c r="F55" s="147" t="str">
        <f t="shared" si="10"/>
        <v>Vulnerability identification and exploitation typically include testers examining: Attack avenues, vectors and threat agents; results from threat analysis; technical system / network / application vulnerabilities; and control weaknesses - supported by a range of techniques (e.g. exploit techniques; escalation techniques; advancement techniques; and analysis techniques) to try and take advantage of specific weaknesses.</v>
      </c>
      <c r="G55" s="149"/>
      <c r="H55" s="150"/>
      <c r="I55" s="150"/>
      <c r="J55" s="150"/>
      <c r="K55" s="150"/>
      <c r="L55" s="150"/>
      <c r="M55" s="150"/>
      <c r="N55" s="69"/>
      <c r="O55" s="69"/>
      <c r="P55" s="69"/>
      <c r="Q55" s="69"/>
      <c r="R55" s="200"/>
      <c r="S55" s="200"/>
      <c r="T55" s="199" t="str">
        <f t="shared" si="11"/>
        <v/>
      </c>
      <c r="U55" s="200"/>
      <c r="V55" s="200"/>
      <c r="W55" s="82">
        <v>0</v>
      </c>
      <c r="X55" s="82">
        <f t="shared" si="12"/>
        <v>0</v>
      </c>
      <c r="Y55" s="193" t="e">
        <f t="shared" si="13"/>
        <v>#N/A</v>
      </c>
      <c r="AH55" s="69"/>
      <c r="AI55" s="80"/>
    </row>
    <row r="56" spans="1:35" s="75" customFormat="1" ht="30" customHeight="1" x14ac:dyDescent="0.25">
      <c r="A56" s="67">
        <v>49</v>
      </c>
      <c r="B56" s="146" t="str">
        <f t="shared" si="7"/>
        <v>B.9</v>
      </c>
      <c r="C56" s="20">
        <f t="shared" si="8"/>
        <v>2</v>
      </c>
      <c r="D56" s="20"/>
      <c r="E56" s="181" t="str">
        <f t="shared" si="9"/>
        <v>Step 9</v>
      </c>
      <c r="F56" s="184" t="str">
        <f t="shared" si="10"/>
        <v>Report key findings</v>
      </c>
      <c r="G56" s="184"/>
      <c r="H56" s="184"/>
      <c r="I56" s="184"/>
      <c r="J56" s="184"/>
      <c r="K56" s="184"/>
      <c r="L56" s="184"/>
      <c r="M56" s="184"/>
      <c r="N56" s="184"/>
      <c r="O56" s="184"/>
      <c r="P56" s="184"/>
      <c r="Q56" s="184"/>
      <c r="R56" s="197"/>
      <c r="S56" s="198"/>
      <c r="T56" s="199" t="str">
        <f t="shared" si="11"/>
        <v>Step 9</v>
      </c>
      <c r="U56" s="198"/>
      <c r="V56" s="198"/>
      <c r="W56" s="82">
        <v>0</v>
      </c>
      <c r="X56" s="82">
        <f t="shared" si="12"/>
        <v>0</v>
      </c>
      <c r="Y56" s="193" t="e">
        <f t="shared" si="13"/>
        <v>#N/A</v>
      </c>
      <c r="AI56" s="80"/>
    </row>
    <row r="57" spans="1:35" s="75" customFormat="1" ht="30" x14ac:dyDescent="0.25">
      <c r="A57" s="67">
        <v>50</v>
      </c>
      <c r="B57" s="146" t="str">
        <f t="shared" si="7"/>
        <v>B.9.01</v>
      </c>
      <c r="C57" s="20">
        <f t="shared" si="8"/>
        <v>5</v>
      </c>
      <c r="D57" s="20"/>
      <c r="E57" s="70" t="str">
        <f t="shared" si="9"/>
        <v>B.9.01</v>
      </c>
      <c r="F57" s="71" t="str">
        <f t="shared" si="10"/>
        <v>Are findings identified during the penetration test reported to your organisation?</v>
      </c>
      <c r="G57" s="149"/>
      <c r="H57" s="150"/>
      <c r="I57" s="150"/>
      <c r="J57" s="150"/>
      <c r="K57" s="150"/>
      <c r="L57" s="150"/>
      <c r="M57" s="150"/>
      <c r="N57" s="69"/>
      <c r="O57" s="69"/>
      <c r="P57" s="69"/>
      <c r="Q57" s="69"/>
      <c r="R57" s="200"/>
      <c r="S57" s="200"/>
      <c r="T57" s="199" t="str">
        <f t="shared" si="11"/>
        <v>B.9.01</v>
      </c>
      <c r="U57" s="200"/>
      <c r="V57" s="200"/>
      <c r="W57" s="82">
        <v>1</v>
      </c>
      <c r="X57" s="82">
        <f t="shared" si="12"/>
        <v>1</v>
      </c>
      <c r="Y57" s="193" t="str">
        <f t="shared" si="13"/>
        <v>x 1</v>
      </c>
      <c r="AI57" s="80"/>
    </row>
    <row r="58" spans="1:35" s="75" customFormat="1" ht="75" x14ac:dyDescent="0.25">
      <c r="A58" s="67">
        <v>51</v>
      </c>
      <c r="B58" s="146" t="str">
        <f t="shared" si="7"/>
        <v/>
      </c>
      <c r="C58" s="20">
        <f t="shared" si="8"/>
        <v>3</v>
      </c>
      <c r="D58" s="20"/>
      <c r="E58" s="70" t="str">
        <f t="shared" si="9"/>
        <v/>
      </c>
      <c r="F58" s="147" t="str">
        <f t="shared" si="10"/>
        <v>Findings should be formally presented to your organisation by suppliers, who should provide details about: how testers found the vulnerabilities; what could be the outcome of each vulnerability; the level of risk to the business for each vulnerability; and advice on how to remediate each vulnerability.</v>
      </c>
      <c r="G58" s="149"/>
      <c r="H58" s="150"/>
      <c r="I58" s="150"/>
      <c r="J58" s="150"/>
      <c r="K58" s="150"/>
      <c r="L58" s="150"/>
      <c r="M58" s="150"/>
      <c r="N58" s="69"/>
      <c r="O58" s="69"/>
      <c r="P58" s="69"/>
      <c r="Q58" s="69"/>
      <c r="R58" s="200"/>
      <c r="S58" s="200"/>
      <c r="T58" s="199" t="str">
        <f t="shared" si="11"/>
        <v/>
      </c>
      <c r="U58" s="200"/>
      <c r="V58" s="200"/>
      <c r="W58" s="82">
        <v>0</v>
      </c>
      <c r="X58" s="82">
        <f t="shared" si="12"/>
        <v>0</v>
      </c>
      <c r="Y58" s="193" t="e">
        <f t="shared" si="13"/>
        <v>#N/A</v>
      </c>
      <c r="AH58" s="69"/>
      <c r="AI58" s="80"/>
    </row>
    <row r="59" spans="1:35" s="75" customFormat="1" ht="35.1" customHeight="1" x14ac:dyDescent="0.25">
      <c r="A59" s="67">
        <v>52</v>
      </c>
      <c r="B59" s="146" t="str">
        <f t="shared" si="7"/>
        <v>C</v>
      </c>
      <c r="C59" s="20">
        <f t="shared" si="8"/>
        <v>1</v>
      </c>
      <c r="D59" s="20"/>
      <c r="E59" s="182" t="str">
        <f t="shared" si="9"/>
        <v>Stage C</v>
      </c>
      <c r="F59" s="185" t="str">
        <f t="shared" si="10"/>
        <v>Follow up</v>
      </c>
      <c r="G59" s="187"/>
      <c r="H59" s="189"/>
      <c r="I59" s="189"/>
      <c r="J59" s="189"/>
      <c r="K59" s="189"/>
      <c r="L59" s="189"/>
      <c r="M59" s="187"/>
      <c r="N59" s="187"/>
      <c r="O59" s="187"/>
      <c r="P59" s="187"/>
      <c r="Q59" s="187"/>
      <c r="R59" s="201"/>
      <c r="S59" s="201"/>
      <c r="T59" s="199" t="str">
        <f t="shared" si="11"/>
        <v>Stage C</v>
      </c>
      <c r="U59" s="201"/>
      <c r="V59" s="201"/>
      <c r="W59" s="82">
        <v>0</v>
      </c>
      <c r="X59" s="82">
        <f t="shared" si="12"/>
        <v>0</v>
      </c>
      <c r="Y59" s="193" t="e">
        <f t="shared" si="13"/>
        <v>#N/A</v>
      </c>
      <c r="AI59" s="80"/>
    </row>
    <row r="60" spans="1:35" s="75" customFormat="1" ht="30" customHeight="1" x14ac:dyDescent="0.25">
      <c r="A60" s="67">
        <v>53</v>
      </c>
      <c r="B60" s="146" t="str">
        <f t="shared" si="7"/>
        <v>C.1</v>
      </c>
      <c r="C60" s="20">
        <f t="shared" si="8"/>
        <v>2</v>
      </c>
      <c r="D60" s="20"/>
      <c r="E60" s="181" t="str">
        <f t="shared" si="9"/>
        <v>Step 1</v>
      </c>
      <c r="F60" s="184" t="str">
        <f t="shared" si="10"/>
        <v>Remediate weaknesses</v>
      </c>
      <c r="G60" s="184"/>
      <c r="H60" s="184"/>
      <c r="I60" s="184"/>
      <c r="J60" s="184"/>
      <c r="K60" s="184"/>
      <c r="L60" s="184"/>
      <c r="M60" s="184"/>
      <c r="N60" s="184"/>
      <c r="O60" s="184"/>
      <c r="P60" s="184"/>
      <c r="Q60" s="184"/>
      <c r="R60" s="197"/>
      <c r="S60" s="198"/>
      <c r="T60" s="199" t="str">
        <f t="shared" si="11"/>
        <v>Step 1</v>
      </c>
      <c r="U60" s="198"/>
      <c r="V60" s="198"/>
      <c r="W60" s="82">
        <v>0</v>
      </c>
      <c r="X60" s="82">
        <f t="shared" si="12"/>
        <v>0</v>
      </c>
      <c r="Y60" s="193" t="e">
        <f t="shared" si="13"/>
        <v>#N/A</v>
      </c>
      <c r="AI60" s="80"/>
    </row>
    <row r="61" spans="1:35" s="75" customFormat="1" ht="30" x14ac:dyDescent="0.25">
      <c r="A61" s="67">
        <v>54</v>
      </c>
      <c r="B61" s="146" t="str">
        <f t="shared" si="7"/>
        <v>C.1.01</v>
      </c>
      <c r="C61" s="20">
        <f t="shared" si="8"/>
        <v>5</v>
      </c>
      <c r="D61" s="20"/>
      <c r="E61" s="70" t="str">
        <f t="shared" si="9"/>
        <v>C.1.01</v>
      </c>
      <c r="F61" s="71" t="str">
        <f t="shared" si="10"/>
        <v>Do follow-up activities include remediating weaknesses found during the testing process, reducing the risk of them being exploited again?</v>
      </c>
      <c r="G61" s="149"/>
      <c r="H61" s="150"/>
      <c r="I61" s="150"/>
      <c r="J61" s="150"/>
      <c r="K61" s="150"/>
      <c r="L61" s="150"/>
      <c r="M61" s="150"/>
      <c r="N61" s="69"/>
      <c r="O61" s="69"/>
      <c r="P61" s="69"/>
      <c r="Q61" s="69"/>
      <c r="R61" s="200"/>
      <c r="S61" s="200"/>
      <c r="T61" s="199" t="str">
        <f t="shared" si="11"/>
        <v>C.1.01</v>
      </c>
      <c r="U61" s="200"/>
      <c r="V61" s="200"/>
      <c r="W61" s="82">
        <v>1</v>
      </c>
      <c r="X61" s="82">
        <f t="shared" si="12"/>
        <v>1</v>
      </c>
      <c r="Y61" s="193" t="str">
        <f t="shared" si="13"/>
        <v>x 1</v>
      </c>
      <c r="AI61" s="80"/>
    </row>
    <row r="62" spans="1:35" s="75" customFormat="1" ht="105" x14ac:dyDescent="0.25">
      <c r="A62" s="67">
        <v>55</v>
      </c>
      <c r="B62" s="146" t="str">
        <f t="shared" si="7"/>
        <v/>
      </c>
      <c r="C62" s="20">
        <f t="shared" si="8"/>
        <v>3</v>
      </c>
      <c r="D62" s="20"/>
      <c r="E62" s="70" t="str">
        <f t="shared" si="9"/>
        <v/>
      </c>
      <c r="F62" s="147" t="str">
        <f t="shared" si="10"/>
        <v>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v>
      </c>
      <c r="G62" s="149"/>
      <c r="H62" s="150"/>
      <c r="I62" s="150"/>
      <c r="J62" s="150"/>
      <c r="K62" s="150"/>
      <c r="L62" s="150"/>
      <c r="M62" s="150"/>
      <c r="N62" s="69"/>
      <c r="O62" s="69"/>
      <c r="P62" s="69"/>
      <c r="Q62" s="69"/>
      <c r="R62" s="200"/>
      <c r="S62" s="200"/>
      <c r="T62" s="199" t="str">
        <f t="shared" si="11"/>
        <v/>
      </c>
      <c r="U62" s="200"/>
      <c r="V62" s="200"/>
      <c r="W62" s="82">
        <v>0</v>
      </c>
      <c r="X62" s="82">
        <f t="shared" si="12"/>
        <v>0</v>
      </c>
      <c r="Y62" s="193" t="e">
        <f t="shared" si="13"/>
        <v>#N/A</v>
      </c>
      <c r="AH62" s="69"/>
      <c r="AI62" s="80"/>
    </row>
    <row r="63" spans="1:35" s="75" customFormat="1" ht="30" customHeight="1" x14ac:dyDescent="0.25">
      <c r="A63" s="67">
        <v>56</v>
      </c>
      <c r="B63" s="146" t="str">
        <f t="shared" si="7"/>
        <v>C.2</v>
      </c>
      <c r="C63" s="20">
        <f t="shared" si="8"/>
        <v>2</v>
      </c>
      <c r="D63" s="20"/>
      <c r="E63" s="181" t="str">
        <f t="shared" si="9"/>
        <v>Step 2</v>
      </c>
      <c r="F63" s="184" t="str">
        <f t="shared" si="10"/>
        <v>Address root causes of weaknesses</v>
      </c>
      <c r="G63" s="184"/>
      <c r="H63" s="184"/>
      <c r="I63" s="184"/>
      <c r="J63" s="184"/>
      <c r="K63" s="184"/>
      <c r="L63" s="184"/>
      <c r="M63" s="184"/>
      <c r="N63" s="184"/>
      <c r="O63" s="184"/>
      <c r="P63" s="184"/>
      <c r="Q63" s="184"/>
      <c r="R63" s="197"/>
      <c r="S63" s="198"/>
      <c r="T63" s="199" t="str">
        <f t="shared" si="11"/>
        <v>Step 2</v>
      </c>
      <c r="U63" s="198"/>
      <c r="V63" s="198"/>
      <c r="W63" s="82">
        <v>0</v>
      </c>
      <c r="X63" s="82">
        <f t="shared" si="12"/>
        <v>0</v>
      </c>
      <c r="Y63" s="193" t="e">
        <f t="shared" si="13"/>
        <v>#N/A</v>
      </c>
      <c r="AI63" s="80"/>
    </row>
    <row r="64" spans="1:35" s="75" customFormat="1" ht="30" x14ac:dyDescent="0.25">
      <c r="A64" s="67">
        <v>57</v>
      </c>
      <c r="B64" s="146" t="str">
        <f t="shared" si="7"/>
        <v>C.2.01</v>
      </c>
      <c r="C64" s="20">
        <f t="shared" si="8"/>
        <v>5</v>
      </c>
      <c r="D64" s="20"/>
      <c r="E64" s="70" t="str">
        <f t="shared" si="9"/>
        <v>C.2.01</v>
      </c>
      <c r="F64" s="71" t="str">
        <f t="shared" si="10"/>
        <v>Do follow-up activities include analysing and addressing the root causes of weaknesses identified in penetration testing?</v>
      </c>
      <c r="G64" s="149"/>
      <c r="H64" s="150"/>
      <c r="I64" s="150"/>
      <c r="J64" s="150"/>
      <c r="K64" s="150"/>
      <c r="L64" s="150"/>
      <c r="M64" s="150"/>
      <c r="N64" s="69"/>
      <c r="O64" s="69"/>
      <c r="P64" s="69"/>
      <c r="Q64" s="69"/>
      <c r="R64" s="200"/>
      <c r="S64" s="200"/>
      <c r="T64" s="199" t="str">
        <f t="shared" si="11"/>
        <v>C.2.01</v>
      </c>
      <c r="U64" s="200"/>
      <c r="V64" s="200"/>
      <c r="W64" s="82">
        <v>1</v>
      </c>
      <c r="X64" s="82">
        <f t="shared" si="12"/>
        <v>1</v>
      </c>
      <c r="Y64" s="193" t="str">
        <f t="shared" si="13"/>
        <v>x 1</v>
      </c>
      <c r="AI64" s="80"/>
    </row>
    <row r="65" spans="1:35" s="75" customFormat="1" ht="75" x14ac:dyDescent="0.25">
      <c r="A65" s="67">
        <v>58</v>
      </c>
      <c r="B65" s="146" t="str">
        <f t="shared" si="7"/>
        <v/>
      </c>
      <c r="C65" s="20">
        <f t="shared" si="8"/>
        <v>3</v>
      </c>
      <c r="D65" s="20"/>
      <c r="E65" s="70" t="str">
        <f t="shared" si="9"/>
        <v/>
      </c>
      <c r="F65" s="147" t="str">
        <f t="shared" si="10"/>
        <v>Root cause analysis should include: identifying the real root causes of exposures; evaluating potential business impact; identifying more endemic or fundamental root causes; involving qualified, experienced security professionals to help define corrective action strategy and plans.</v>
      </c>
      <c r="G65" s="149"/>
      <c r="H65" s="150"/>
      <c r="I65" s="150"/>
      <c r="J65" s="150"/>
      <c r="K65" s="150"/>
      <c r="L65" s="150"/>
      <c r="M65" s="150"/>
      <c r="N65" s="69"/>
      <c r="O65" s="69"/>
      <c r="P65" s="69"/>
      <c r="Q65" s="69"/>
      <c r="R65" s="200"/>
      <c r="S65" s="200"/>
      <c r="T65" s="199" t="str">
        <f t="shared" si="11"/>
        <v/>
      </c>
      <c r="U65" s="200"/>
      <c r="V65" s="200"/>
      <c r="W65" s="82">
        <v>0</v>
      </c>
      <c r="X65" s="82">
        <f t="shared" si="12"/>
        <v>0</v>
      </c>
      <c r="Y65" s="193" t="e">
        <f t="shared" si="13"/>
        <v>#N/A</v>
      </c>
      <c r="AH65" s="69"/>
      <c r="AI65" s="80"/>
    </row>
    <row r="66" spans="1:35" s="75" customFormat="1" ht="30" customHeight="1" x14ac:dyDescent="0.25">
      <c r="A66" s="67">
        <v>59</v>
      </c>
      <c r="B66" s="146" t="str">
        <f t="shared" si="7"/>
        <v>C.3</v>
      </c>
      <c r="C66" s="20">
        <f t="shared" si="8"/>
        <v>2</v>
      </c>
      <c r="D66" s="20"/>
      <c r="E66" s="181" t="str">
        <f t="shared" si="9"/>
        <v>Step 3</v>
      </c>
      <c r="F66" s="184" t="str">
        <f t="shared" si="10"/>
        <v>Initiate improvement programme</v>
      </c>
      <c r="G66" s="184"/>
      <c r="H66" s="184"/>
      <c r="I66" s="184"/>
      <c r="J66" s="184"/>
      <c r="K66" s="184"/>
      <c r="L66" s="184"/>
      <c r="M66" s="184"/>
      <c r="N66" s="184"/>
      <c r="O66" s="184"/>
      <c r="P66" s="184"/>
      <c r="Q66" s="184"/>
      <c r="R66" s="197"/>
      <c r="S66" s="198"/>
      <c r="T66" s="199" t="str">
        <f t="shared" si="11"/>
        <v>Step 3</v>
      </c>
      <c r="U66" s="198"/>
      <c r="V66" s="198"/>
      <c r="W66" s="82">
        <v>0</v>
      </c>
      <c r="X66" s="82">
        <f t="shared" si="12"/>
        <v>0</v>
      </c>
      <c r="Y66" s="193" t="e">
        <f t="shared" si="13"/>
        <v>#N/A</v>
      </c>
      <c r="AI66" s="80"/>
    </row>
    <row r="67" spans="1:35" s="75" customFormat="1" ht="30" x14ac:dyDescent="0.25">
      <c r="A67" s="67">
        <v>60</v>
      </c>
      <c r="B67" s="146" t="str">
        <f t="shared" si="7"/>
        <v>C.3.01</v>
      </c>
      <c r="C67" s="20">
        <f t="shared" si="8"/>
        <v>5</v>
      </c>
      <c r="D67" s="20"/>
      <c r="E67" s="70" t="str">
        <f t="shared" si="9"/>
        <v>C.3.01</v>
      </c>
      <c r="F67" s="71" t="str">
        <f t="shared" si="10"/>
        <v>On completion of penetration tests, is an improvement programme initiated?</v>
      </c>
      <c r="G67" s="149"/>
      <c r="H67" s="150"/>
      <c r="I67" s="150"/>
      <c r="J67" s="150"/>
      <c r="K67" s="150"/>
      <c r="L67" s="150"/>
      <c r="M67" s="150"/>
      <c r="N67" s="69"/>
      <c r="O67" s="69"/>
      <c r="P67" s="69"/>
      <c r="Q67" s="69"/>
      <c r="R67" s="200"/>
      <c r="S67" s="200"/>
      <c r="T67" s="199" t="str">
        <f t="shared" si="11"/>
        <v>C.3.01</v>
      </c>
      <c r="U67" s="200"/>
      <c r="V67" s="200"/>
      <c r="W67" s="82">
        <v>1</v>
      </c>
      <c r="X67" s="82">
        <f t="shared" si="12"/>
        <v>1</v>
      </c>
      <c r="Y67" s="193" t="str">
        <f t="shared" si="13"/>
        <v>x 1</v>
      </c>
      <c r="AI67" s="80"/>
    </row>
    <row r="68" spans="1:35" s="75" customFormat="1" ht="75" x14ac:dyDescent="0.25">
      <c r="A68" s="67">
        <v>61</v>
      </c>
      <c r="B68" s="146" t="str">
        <f t="shared" si="7"/>
        <v/>
      </c>
      <c r="C68" s="20">
        <f t="shared" si="8"/>
        <v>3</v>
      </c>
      <c r="D68" s="20"/>
      <c r="E68" s="70" t="str">
        <f t="shared" si="9"/>
        <v/>
      </c>
      <c r="F68" s="147" t="str">
        <f t="shared" si="10"/>
        <v>The improvement programme should be carried out in a structured / systematic manner: addressing root causes of weakness; evaluating penetration testing effectiveness; identifying lessons learned; applying good practice enterprise-wide; creating and monitoring action plans; and agreeing approaches for future testing.</v>
      </c>
      <c r="G68" s="149"/>
      <c r="H68" s="150"/>
      <c r="I68" s="150"/>
      <c r="J68" s="150"/>
      <c r="K68" s="150"/>
      <c r="L68" s="150"/>
      <c r="M68" s="150"/>
      <c r="N68" s="69"/>
      <c r="O68" s="69"/>
      <c r="P68" s="69"/>
      <c r="Q68" s="69"/>
      <c r="R68" s="200"/>
      <c r="S68" s="200"/>
      <c r="T68" s="199" t="str">
        <f t="shared" si="11"/>
        <v/>
      </c>
      <c r="U68" s="200"/>
      <c r="V68" s="200"/>
      <c r="W68" s="82">
        <v>0</v>
      </c>
      <c r="X68" s="82">
        <f t="shared" si="12"/>
        <v>0</v>
      </c>
      <c r="Y68" s="193" t="e">
        <f t="shared" si="13"/>
        <v>#N/A</v>
      </c>
      <c r="AH68" s="69"/>
      <c r="AI68" s="80"/>
    </row>
    <row r="69" spans="1:35" s="75" customFormat="1" ht="30" customHeight="1" x14ac:dyDescent="0.25">
      <c r="A69" s="67">
        <v>62</v>
      </c>
      <c r="B69" s="146" t="str">
        <f t="shared" si="7"/>
        <v>C.4</v>
      </c>
      <c r="C69" s="20">
        <f t="shared" si="8"/>
        <v>2</v>
      </c>
      <c r="D69" s="20"/>
      <c r="E69" s="181" t="str">
        <f t="shared" si="9"/>
        <v>Step 4</v>
      </c>
      <c r="F69" s="184" t="str">
        <f t="shared" si="10"/>
        <v>Evaluate penetration testing effectiveness</v>
      </c>
      <c r="G69" s="184"/>
      <c r="H69" s="184"/>
      <c r="I69" s="184"/>
      <c r="J69" s="184"/>
      <c r="K69" s="184"/>
      <c r="L69" s="184"/>
      <c r="M69" s="184"/>
      <c r="N69" s="184"/>
      <c r="O69" s="184"/>
      <c r="P69" s="184"/>
      <c r="Q69" s="184"/>
      <c r="R69" s="197"/>
      <c r="S69" s="198"/>
      <c r="T69" s="199" t="str">
        <f t="shared" si="11"/>
        <v>Step 4</v>
      </c>
      <c r="U69" s="198"/>
      <c r="V69" s="198"/>
      <c r="W69" s="82">
        <v>0</v>
      </c>
      <c r="X69" s="82">
        <f t="shared" si="12"/>
        <v>0</v>
      </c>
      <c r="Y69" s="193" t="e">
        <f t="shared" si="13"/>
        <v>#N/A</v>
      </c>
      <c r="AI69" s="80"/>
    </row>
    <row r="70" spans="1:35" s="75" customFormat="1" ht="30" customHeight="1" x14ac:dyDescent="0.25">
      <c r="A70" s="67">
        <v>63</v>
      </c>
      <c r="B70" s="146" t="str">
        <f t="shared" si="7"/>
        <v>C.4.01</v>
      </c>
      <c r="C70" s="20">
        <f t="shared" si="8"/>
        <v>5</v>
      </c>
      <c r="D70" s="20"/>
      <c r="E70" s="70" t="str">
        <f t="shared" si="9"/>
        <v>C.4.01</v>
      </c>
      <c r="F70" s="71" t="str">
        <f t="shared" si="10"/>
        <v>Is the effectiveness of your penetration tests evaluated?</v>
      </c>
      <c r="G70" s="149"/>
      <c r="H70" s="150"/>
      <c r="I70" s="150"/>
      <c r="J70" s="150"/>
      <c r="K70" s="150"/>
      <c r="L70" s="150"/>
      <c r="M70" s="150"/>
      <c r="N70" s="69"/>
      <c r="O70" s="69"/>
      <c r="P70" s="69"/>
      <c r="Q70" s="69"/>
      <c r="R70" s="200"/>
      <c r="S70" s="200"/>
      <c r="T70" s="199" t="str">
        <f t="shared" si="11"/>
        <v>C.4.01</v>
      </c>
      <c r="U70" s="200"/>
      <c r="V70" s="200"/>
      <c r="W70" s="82">
        <v>1</v>
      </c>
      <c r="X70" s="82">
        <f t="shared" si="12"/>
        <v>1</v>
      </c>
      <c r="Y70" s="193" t="str">
        <f t="shared" si="13"/>
        <v>x 1</v>
      </c>
      <c r="AI70" s="80"/>
    </row>
    <row r="71" spans="1:35" s="75" customFormat="1" ht="75" x14ac:dyDescent="0.25">
      <c r="A71" s="67">
        <v>64</v>
      </c>
      <c r="B71" s="146" t="str">
        <f t="shared" si="7"/>
        <v/>
      </c>
      <c r="C71" s="20">
        <f t="shared" si="8"/>
        <v>3</v>
      </c>
      <c r="D71" s="20"/>
      <c r="E71" s="70" t="str">
        <f t="shared" si="9"/>
        <v/>
      </c>
      <c r="F71" s="147" t="str">
        <f t="shared" si="10"/>
        <v>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v>
      </c>
      <c r="G71" s="149"/>
      <c r="H71" s="150"/>
      <c r="I71" s="150"/>
      <c r="J71" s="150"/>
      <c r="K71" s="150"/>
      <c r="L71" s="150"/>
      <c r="M71" s="150"/>
      <c r="N71" s="69"/>
      <c r="O71" s="69"/>
      <c r="P71" s="69"/>
      <c r="Q71" s="69"/>
      <c r="R71" s="200"/>
      <c r="S71" s="200"/>
      <c r="T71" s="199" t="str">
        <f t="shared" si="11"/>
        <v/>
      </c>
      <c r="U71" s="200"/>
      <c r="V71" s="200"/>
      <c r="W71" s="82">
        <v>0</v>
      </c>
      <c r="X71" s="82">
        <f t="shared" si="12"/>
        <v>0</v>
      </c>
      <c r="Y71" s="193" t="e">
        <f t="shared" si="13"/>
        <v>#N/A</v>
      </c>
      <c r="AH71" s="69"/>
      <c r="AI71" s="80"/>
    </row>
    <row r="72" spans="1:35" s="75" customFormat="1" ht="30" customHeight="1" x14ac:dyDescent="0.25">
      <c r="A72" s="67">
        <v>65</v>
      </c>
      <c r="B72" s="146" t="str">
        <f t="shared" ref="B72:B77" si="14">VLOOKUP(A72,contentrefmockup,2,FALSE)</f>
        <v>C.5</v>
      </c>
      <c r="C72" s="20">
        <f t="shared" ref="C72:C77" si="15">VLOOKUP(A72,contentrefmockup,15,FALSE)</f>
        <v>2</v>
      </c>
      <c r="D72" s="20"/>
      <c r="E72" s="181" t="str">
        <f t="shared" ref="E72:E77" si="16">IF(C72=1,"Stage "&amp;B72,IF(C72=2,"Step "&amp;VLOOKUP(A72,contentrefmockup,4,FALSE),B72))</f>
        <v>Step 5</v>
      </c>
      <c r="F72" s="184" t="str">
        <f t="shared" ref="F72:F77" si="17">VLOOKUP(A72,contentrefmockup,7,FALSE)</f>
        <v>Build on lessons learned</v>
      </c>
      <c r="G72" s="184"/>
      <c r="H72" s="184"/>
      <c r="I72" s="184"/>
      <c r="J72" s="184"/>
      <c r="K72" s="184"/>
      <c r="L72" s="184"/>
      <c r="M72" s="184"/>
      <c r="N72" s="184"/>
      <c r="O72" s="184"/>
      <c r="P72" s="184"/>
      <c r="Q72" s="184"/>
      <c r="R72" s="197"/>
      <c r="S72" s="198"/>
      <c r="T72" s="199" t="str">
        <f t="shared" ref="T72:T77" si="18">E72</f>
        <v>Step 5</v>
      </c>
      <c r="U72" s="198"/>
      <c r="V72" s="198"/>
      <c r="W72" s="82">
        <v>0</v>
      </c>
      <c r="X72" s="82">
        <f t="shared" ref="X72:X77" si="19">VLOOKUP(A72,contentrefmockup,8,FALSE)</f>
        <v>0</v>
      </c>
      <c r="Y72" s="193" t="e">
        <f t="shared" ref="Y72:Y77" si="20">VLOOKUP(W72,weighting_response_reverse,2,FALSE)</f>
        <v>#N/A</v>
      </c>
      <c r="AI72" s="80"/>
    </row>
    <row r="73" spans="1:35" s="75" customFormat="1" ht="45" x14ac:dyDescent="0.25">
      <c r="A73" s="67">
        <v>66</v>
      </c>
      <c r="B73" s="146" t="str">
        <f t="shared" si="14"/>
        <v>C.5.01</v>
      </c>
      <c r="C73" s="20">
        <f t="shared" si="15"/>
        <v>5</v>
      </c>
      <c r="D73" s="20"/>
      <c r="E73" s="70" t="str">
        <f t="shared" si="16"/>
        <v>C.5.01</v>
      </c>
      <c r="F73" s="71" t="str">
        <f t="shared" si="17"/>
        <v>Does your penetration testing approach include identifying, recording, analysing and acting upon lessons learned, ensuring good practices are applied to other environments?</v>
      </c>
      <c r="G73" s="149"/>
      <c r="H73" s="150"/>
      <c r="I73" s="150"/>
      <c r="J73" s="150"/>
      <c r="K73" s="150"/>
      <c r="L73" s="150"/>
      <c r="M73" s="150"/>
      <c r="N73" s="69"/>
      <c r="O73" s="69"/>
      <c r="P73" s="69"/>
      <c r="Q73" s="69"/>
      <c r="R73" s="200"/>
      <c r="S73" s="200"/>
      <c r="T73" s="199" t="str">
        <f t="shared" si="18"/>
        <v>C.5.01</v>
      </c>
      <c r="U73" s="200"/>
      <c r="V73" s="200"/>
      <c r="W73" s="82">
        <v>1</v>
      </c>
      <c r="X73" s="82">
        <f t="shared" si="19"/>
        <v>1</v>
      </c>
      <c r="Y73" s="193" t="str">
        <f t="shared" si="20"/>
        <v>x 1</v>
      </c>
      <c r="AI73" s="80"/>
    </row>
    <row r="74" spans="1:35" s="75" customFormat="1" ht="105" x14ac:dyDescent="0.25">
      <c r="A74" s="67">
        <v>67</v>
      </c>
      <c r="B74" s="146" t="str">
        <f t="shared" si="14"/>
        <v/>
      </c>
      <c r="C74" s="20">
        <f t="shared" si="15"/>
        <v>3</v>
      </c>
      <c r="D74" s="20"/>
      <c r="E74" s="70" t="str">
        <f t="shared" si="16"/>
        <v/>
      </c>
      <c r="F74" s="147" t="str">
        <f t="shared" si="17"/>
        <v>Lessons learned before, during and after penetration tests have been conducted should be used to help in planning future tests and provide feedback to service providers to help them improve processes. Good practices identified as a result of penetration tests conducted for one environment should be applied to a wide range of other environments, and rolled out in a consistent and effective manner, fixing root causes endemically.</v>
      </c>
      <c r="G74" s="149"/>
      <c r="H74" s="150"/>
      <c r="I74" s="150"/>
      <c r="J74" s="150"/>
      <c r="K74" s="150"/>
      <c r="L74" s="150"/>
      <c r="M74" s="150"/>
      <c r="N74" s="69"/>
      <c r="O74" s="69"/>
      <c r="P74" s="69"/>
      <c r="Q74" s="69"/>
      <c r="R74" s="200"/>
      <c r="S74" s="200"/>
      <c r="T74" s="199" t="str">
        <f t="shared" si="18"/>
        <v/>
      </c>
      <c r="U74" s="200"/>
      <c r="V74" s="200"/>
      <c r="W74" s="82">
        <v>0</v>
      </c>
      <c r="X74" s="82">
        <f t="shared" si="19"/>
        <v>0</v>
      </c>
      <c r="Y74" s="193" t="e">
        <f t="shared" si="20"/>
        <v>#N/A</v>
      </c>
      <c r="AH74" s="69"/>
      <c r="AI74" s="80"/>
    </row>
    <row r="75" spans="1:35" s="75" customFormat="1" ht="30" customHeight="1" x14ac:dyDescent="0.25">
      <c r="A75" s="67">
        <v>68</v>
      </c>
      <c r="B75" s="146" t="str">
        <f t="shared" si="14"/>
        <v>C.6</v>
      </c>
      <c r="C75" s="20">
        <f t="shared" si="15"/>
        <v>2</v>
      </c>
      <c r="D75" s="20"/>
      <c r="E75" s="181" t="str">
        <f t="shared" si="16"/>
        <v>Step 6</v>
      </c>
      <c r="F75" s="184" t="str">
        <f t="shared" si="17"/>
        <v>Create and monitor action plans</v>
      </c>
      <c r="G75" s="184"/>
      <c r="H75" s="184"/>
      <c r="I75" s="184"/>
      <c r="J75" s="184"/>
      <c r="K75" s="184"/>
      <c r="L75" s="184"/>
      <c r="M75" s="184"/>
      <c r="N75" s="184"/>
      <c r="O75" s="184"/>
      <c r="P75" s="184"/>
      <c r="Q75" s="184"/>
      <c r="R75" s="197"/>
      <c r="S75" s="198"/>
      <c r="T75" s="199" t="str">
        <f t="shared" si="18"/>
        <v>Step 6</v>
      </c>
      <c r="U75" s="198"/>
      <c r="V75" s="198"/>
      <c r="W75" s="82">
        <v>0</v>
      </c>
      <c r="X75" s="82">
        <f t="shared" si="19"/>
        <v>0</v>
      </c>
      <c r="Y75" s="193" t="e">
        <f t="shared" si="20"/>
        <v>#N/A</v>
      </c>
      <c r="AI75" s="80"/>
    </row>
    <row r="76" spans="1:35" s="75" customFormat="1" ht="30" x14ac:dyDescent="0.25">
      <c r="A76" s="67">
        <v>69</v>
      </c>
      <c r="B76" s="146" t="str">
        <f t="shared" si="14"/>
        <v>C.6.01</v>
      </c>
      <c r="C76" s="20">
        <f t="shared" si="15"/>
        <v>5</v>
      </c>
      <c r="D76" s="20"/>
      <c r="E76" s="70" t="str">
        <f t="shared" si="16"/>
        <v>C.6.01</v>
      </c>
      <c r="F76" s="71" t="str">
        <f t="shared" si="17"/>
        <v>Are action plans created to help act upon follow-up activities undertaken and used to provide input into the design and scope of future tests?</v>
      </c>
      <c r="G76" s="149"/>
      <c r="H76" s="150"/>
      <c r="I76" s="150"/>
      <c r="J76" s="150"/>
      <c r="K76" s="150"/>
      <c r="L76" s="150"/>
      <c r="M76" s="150"/>
      <c r="N76" s="69"/>
      <c r="O76" s="69"/>
      <c r="P76" s="69"/>
      <c r="Q76" s="69"/>
      <c r="R76" s="200"/>
      <c r="S76" s="200"/>
      <c r="T76" s="199" t="str">
        <f t="shared" si="18"/>
        <v>C.6.01</v>
      </c>
      <c r="U76" s="200"/>
      <c r="V76" s="200"/>
      <c r="W76" s="82">
        <v>1</v>
      </c>
      <c r="X76" s="82">
        <f t="shared" si="19"/>
        <v>1</v>
      </c>
      <c r="Y76" s="193" t="str">
        <f t="shared" si="20"/>
        <v>x 1</v>
      </c>
      <c r="AI76" s="80"/>
    </row>
    <row r="77" spans="1:35" s="75" customFormat="1" ht="135" x14ac:dyDescent="0.25">
      <c r="A77" s="67">
        <v>70</v>
      </c>
      <c r="B77" s="146" t="str">
        <f t="shared" si="14"/>
        <v/>
      </c>
      <c r="C77" s="20">
        <f t="shared" si="15"/>
        <v>3</v>
      </c>
      <c r="D77" s="20"/>
      <c r="E77" s="70" t="str">
        <f t="shared" si="16"/>
        <v/>
      </c>
      <c r="F77" s="147" t="str">
        <f t="shared" si="17"/>
        <v>Actions plans should: be formally developed and approved; outline all relevant actions to be taken, include relevant details of the actions to be taken, implemented effectively and monitored to ensure progress is being made and that risks are being kept within acceptable limits. Results from penetration tests should be used when considering what to test in the future (e.g. infrastructure, web applications, mobile devices), how future tests should be undertaken; and when (e.g. on a regular basis (e.g. annually); after significant technical or business changes are made: or in response to a major security incident).</v>
      </c>
      <c r="G77" s="149"/>
      <c r="H77" s="150"/>
      <c r="I77" s="150"/>
      <c r="J77" s="150"/>
      <c r="K77" s="150"/>
      <c r="L77" s="150"/>
      <c r="M77" s="150"/>
      <c r="N77" s="69"/>
      <c r="O77" s="69"/>
      <c r="P77" s="69"/>
      <c r="Q77" s="69"/>
      <c r="R77" s="200"/>
      <c r="S77" s="200"/>
      <c r="T77" s="199" t="str">
        <f t="shared" si="18"/>
        <v/>
      </c>
      <c r="U77" s="200"/>
      <c r="V77" s="200"/>
      <c r="W77" s="82">
        <v>0</v>
      </c>
      <c r="X77" s="82">
        <f t="shared" si="19"/>
        <v>0</v>
      </c>
      <c r="Y77" s="193" t="e">
        <f t="shared" si="20"/>
        <v>#N/A</v>
      </c>
      <c r="AH77" s="69"/>
      <c r="AI77" s="80"/>
    </row>
  </sheetData>
  <sheetProtection algorithmName="SHA-512" hashValue="Qlq09xx18ZVJC5KrZoiHEnbXiNOKkFu6uHJ899YW/0hRD0JLCqMPczRHTW94r1enbQxaEGzmC4IEPpvBqZQw6A==" saltValue="NPyTWxuFiyfXDfXMOaEcnw==" spinCount="100000" sheet="1" objects="1" scenarios="1"/>
  <sortState xmlns:xlrd2="http://schemas.microsoft.com/office/spreadsheetml/2017/richdata2" ref="A8:AI77">
    <sortCondition ref="A8:A77"/>
  </sortState>
  <mergeCells count="1">
    <mergeCell ref="F2:F5"/>
  </mergeCells>
  <pageMargins left="0.7" right="0.7" top="0.75" bottom="0.75" header="0.3" footer="0.3"/>
  <pageSetup paperSize="9" scale="73"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79921" r:id="rId4" name="Drop Down 1073">
              <controlPr locked="0" defaultSize="0" autoFill="0" autoPict="0">
                <anchor moveWithCells="1">
                  <from>
                    <xdr:col>6</xdr:col>
                    <xdr:colOff>428625</xdr:colOff>
                    <xdr:row>9</xdr:row>
                    <xdr:rowOff>85725</xdr:rowOff>
                  </from>
                  <to>
                    <xdr:col>6</xdr:col>
                    <xdr:colOff>933450</xdr:colOff>
                    <xdr:row>9</xdr:row>
                    <xdr:rowOff>304800</xdr:rowOff>
                  </to>
                </anchor>
              </controlPr>
            </control>
          </mc:Choice>
        </mc:AlternateContent>
        <mc:AlternateContent xmlns:mc="http://schemas.openxmlformats.org/markup-compatibility/2006">
          <mc:Choice Requires="x14">
            <control shapeId="112596" r:id="rId5" name="Drop Down 3028">
              <controlPr locked="0" defaultSize="0" autoFill="0" autoPict="0">
                <anchor moveWithCells="1">
                  <from>
                    <xdr:col>6</xdr:col>
                    <xdr:colOff>428625</xdr:colOff>
                    <xdr:row>12</xdr:row>
                    <xdr:rowOff>85725</xdr:rowOff>
                  </from>
                  <to>
                    <xdr:col>6</xdr:col>
                    <xdr:colOff>933450</xdr:colOff>
                    <xdr:row>12</xdr:row>
                    <xdr:rowOff>304800</xdr:rowOff>
                  </to>
                </anchor>
              </controlPr>
            </control>
          </mc:Choice>
        </mc:AlternateContent>
        <mc:AlternateContent xmlns:mc="http://schemas.openxmlformats.org/markup-compatibility/2006">
          <mc:Choice Requires="x14">
            <control shapeId="112597" r:id="rId6" name="Drop Down 3029">
              <controlPr locked="0" defaultSize="0" autoFill="0" autoPict="0">
                <anchor moveWithCells="1">
                  <from>
                    <xdr:col>6</xdr:col>
                    <xdr:colOff>428625</xdr:colOff>
                    <xdr:row>15</xdr:row>
                    <xdr:rowOff>85725</xdr:rowOff>
                  </from>
                  <to>
                    <xdr:col>6</xdr:col>
                    <xdr:colOff>933450</xdr:colOff>
                    <xdr:row>15</xdr:row>
                    <xdr:rowOff>304800</xdr:rowOff>
                  </to>
                </anchor>
              </controlPr>
            </control>
          </mc:Choice>
        </mc:AlternateContent>
        <mc:AlternateContent xmlns:mc="http://schemas.openxmlformats.org/markup-compatibility/2006">
          <mc:Choice Requires="x14">
            <control shapeId="112598" r:id="rId7" name="Drop Down 3030">
              <controlPr locked="0" defaultSize="0" autoFill="0" autoPict="0">
                <anchor moveWithCells="1">
                  <from>
                    <xdr:col>6</xdr:col>
                    <xdr:colOff>428625</xdr:colOff>
                    <xdr:row>18</xdr:row>
                    <xdr:rowOff>85725</xdr:rowOff>
                  </from>
                  <to>
                    <xdr:col>6</xdr:col>
                    <xdr:colOff>933450</xdr:colOff>
                    <xdr:row>18</xdr:row>
                    <xdr:rowOff>304800</xdr:rowOff>
                  </to>
                </anchor>
              </controlPr>
            </control>
          </mc:Choice>
        </mc:AlternateContent>
        <mc:AlternateContent xmlns:mc="http://schemas.openxmlformats.org/markup-compatibility/2006">
          <mc:Choice Requires="x14">
            <control shapeId="112599" r:id="rId8" name="Drop Down 3031">
              <controlPr locked="0" defaultSize="0" autoFill="0" autoPict="0">
                <anchor moveWithCells="1">
                  <from>
                    <xdr:col>6</xdr:col>
                    <xdr:colOff>428625</xdr:colOff>
                    <xdr:row>21</xdr:row>
                    <xdr:rowOff>85725</xdr:rowOff>
                  </from>
                  <to>
                    <xdr:col>6</xdr:col>
                    <xdr:colOff>933450</xdr:colOff>
                    <xdr:row>21</xdr:row>
                    <xdr:rowOff>304800</xdr:rowOff>
                  </to>
                </anchor>
              </controlPr>
            </control>
          </mc:Choice>
        </mc:AlternateContent>
        <mc:AlternateContent xmlns:mc="http://schemas.openxmlformats.org/markup-compatibility/2006">
          <mc:Choice Requires="x14">
            <control shapeId="112600" r:id="rId9" name="Drop Down 3032">
              <controlPr locked="0" defaultSize="0" autoFill="0" autoPict="0">
                <anchor moveWithCells="1">
                  <from>
                    <xdr:col>6</xdr:col>
                    <xdr:colOff>428625</xdr:colOff>
                    <xdr:row>24</xdr:row>
                    <xdr:rowOff>85725</xdr:rowOff>
                  </from>
                  <to>
                    <xdr:col>6</xdr:col>
                    <xdr:colOff>933450</xdr:colOff>
                    <xdr:row>24</xdr:row>
                    <xdr:rowOff>304800</xdr:rowOff>
                  </to>
                </anchor>
              </controlPr>
            </control>
          </mc:Choice>
        </mc:AlternateContent>
        <mc:AlternateContent xmlns:mc="http://schemas.openxmlformats.org/markup-compatibility/2006">
          <mc:Choice Requires="x14">
            <control shapeId="112601" r:id="rId10" name="Drop Down 3033">
              <controlPr locked="0" defaultSize="0" autoFill="0" autoPict="0">
                <anchor moveWithCells="1">
                  <from>
                    <xdr:col>6</xdr:col>
                    <xdr:colOff>428625</xdr:colOff>
                    <xdr:row>27</xdr:row>
                    <xdr:rowOff>85725</xdr:rowOff>
                  </from>
                  <to>
                    <xdr:col>6</xdr:col>
                    <xdr:colOff>933450</xdr:colOff>
                    <xdr:row>27</xdr:row>
                    <xdr:rowOff>304800</xdr:rowOff>
                  </to>
                </anchor>
              </controlPr>
            </control>
          </mc:Choice>
        </mc:AlternateContent>
        <mc:AlternateContent xmlns:mc="http://schemas.openxmlformats.org/markup-compatibility/2006">
          <mc:Choice Requires="x14">
            <control shapeId="112602" r:id="rId11" name="Drop Down 3034">
              <controlPr locked="0" defaultSize="0" autoFill="0" autoPict="0">
                <anchor moveWithCells="1">
                  <from>
                    <xdr:col>6</xdr:col>
                    <xdr:colOff>428625</xdr:colOff>
                    <xdr:row>31</xdr:row>
                    <xdr:rowOff>85725</xdr:rowOff>
                  </from>
                  <to>
                    <xdr:col>6</xdr:col>
                    <xdr:colOff>933450</xdr:colOff>
                    <xdr:row>31</xdr:row>
                    <xdr:rowOff>304800</xdr:rowOff>
                  </to>
                </anchor>
              </controlPr>
            </control>
          </mc:Choice>
        </mc:AlternateContent>
        <mc:AlternateContent xmlns:mc="http://schemas.openxmlformats.org/markup-compatibility/2006">
          <mc:Choice Requires="x14">
            <control shapeId="112603" r:id="rId12" name="Drop Down 3035">
              <controlPr locked="0" defaultSize="0" autoFill="0" autoPict="0">
                <anchor moveWithCells="1">
                  <from>
                    <xdr:col>6</xdr:col>
                    <xdr:colOff>428625</xdr:colOff>
                    <xdr:row>34</xdr:row>
                    <xdr:rowOff>85725</xdr:rowOff>
                  </from>
                  <to>
                    <xdr:col>6</xdr:col>
                    <xdr:colOff>933450</xdr:colOff>
                    <xdr:row>34</xdr:row>
                    <xdr:rowOff>304800</xdr:rowOff>
                  </to>
                </anchor>
              </controlPr>
            </control>
          </mc:Choice>
        </mc:AlternateContent>
        <mc:AlternateContent xmlns:mc="http://schemas.openxmlformats.org/markup-compatibility/2006">
          <mc:Choice Requires="x14">
            <control shapeId="112604" r:id="rId13" name="Drop Down 3036">
              <controlPr locked="0" defaultSize="0" autoFill="0" autoPict="0">
                <anchor moveWithCells="1">
                  <from>
                    <xdr:col>6</xdr:col>
                    <xdr:colOff>428625</xdr:colOff>
                    <xdr:row>37</xdr:row>
                    <xdr:rowOff>85725</xdr:rowOff>
                  </from>
                  <to>
                    <xdr:col>6</xdr:col>
                    <xdr:colOff>933450</xdr:colOff>
                    <xdr:row>37</xdr:row>
                    <xdr:rowOff>304800</xdr:rowOff>
                  </to>
                </anchor>
              </controlPr>
            </control>
          </mc:Choice>
        </mc:AlternateContent>
        <mc:AlternateContent xmlns:mc="http://schemas.openxmlformats.org/markup-compatibility/2006">
          <mc:Choice Requires="x14">
            <control shapeId="112605" r:id="rId14" name="Drop Down 3037">
              <controlPr locked="0" defaultSize="0" autoFill="0" autoPict="0">
                <anchor moveWithCells="1">
                  <from>
                    <xdr:col>6</xdr:col>
                    <xdr:colOff>428625</xdr:colOff>
                    <xdr:row>40</xdr:row>
                    <xdr:rowOff>85725</xdr:rowOff>
                  </from>
                  <to>
                    <xdr:col>6</xdr:col>
                    <xdr:colOff>933450</xdr:colOff>
                    <xdr:row>40</xdr:row>
                    <xdr:rowOff>304800</xdr:rowOff>
                  </to>
                </anchor>
              </controlPr>
            </control>
          </mc:Choice>
        </mc:AlternateContent>
        <mc:AlternateContent xmlns:mc="http://schemas.openxmlformats.org/markup-compatibility/2006">
          <mc:Choice Requires="x14">
            <control shapeId="112606" r:id="rId15" name="Drop Down 3038">
              <controlPr locked="0" defaultSize="0" autoFill="0" autoPict="0">
                <anchor moveWithCells="1">
                  <from>
                    <xdr:col>6</xdr:col>
                    <xdr:colOff>428625</xdr:colOff>
                    <xdr:row>44</xdr:row>
                    <xdr:rowOff>85725</xdr:rowOff>
                  </from>
                  <to>
                    <xdr:col>6</xdr:col>
                    <xdr:colOff>933450</xdr:colOff>
                    <xdr:row>44</xdr:row>
                    <xdr:rowOff>304800</xdr:rowOff>
                  </to>
                </anchor>
              </controlPr>
            </control>
          </mc:Choice>
        </mc:AlternateContent>
        <mc:AlternateContent xmlns:mc="http://schemas.openxmlformats.org/markup-compatibility/2006">
          <mc:Choice Requires="x14">
            <control shapeId="112607" r:id="rId16" name="Drop Down 3039">
              <controlPr locked="0" defaultSize="0" autoFill="0" autoPict="0">
                <anchor moveWithCells="1">
                  <from>
                    <xdr:col>6</xdr:col>
                    <xdr:colOff>428625</xdr:colOff>
                    <xdr:row>47</xdr:row>
                    <xdr:rowOff>85725</xdr:rowOff>
                  </from>
                  <to>
                    <xdr:col>6</xdr:col>
                    <xdr:colOff>933450</xdr:colOff>
                    <xdr:row>47</xdr:row>
                    <xdr:rowOff>304800</xdr:rowOff>
                  </to>
                </anchor>
              </controlPr>
            </control>
          </mc:Choice>
        </mc:AlternateContent>
        <mc:AlternateContent xmlns:mc="http://schemas.openxmlformats.org/markup-compatibility/2006">
          <mc:Choice Requires="x14">
            <control shapeId="112608" r:id="rId17" name="Drop Down 3040">
              <controlPr locked="0" defaultSize="0" autoFill="0" autoPict="0">
                <anchor moveWithCells="1">
                  <from>
                    <xdr:col>6</xdr:col>
                    <xdr:colOff>428625</xdr:colOff>
                    <xdr:row>50</xdr:row>
                    <xdr:rowOff>85725</xdr:rowOff>
                  </from>
                  <to>
                    <xdr:col>6</xdr:col>
                    <xdr:colOff>933450</xdr:colOff>
                    <xdr:row>50</xdr:row>
                    <xdr:rowOff>304800</xdr:rowOff>
                  </to>
                </anchor>
              </controlPr>
            </control>
          </mc:Choice>
        </mc:AlternateContent>
        <mc:AlternateContent xmlns:mc="http://schemas.openxmlformats.org/markup-compatibility/2006">
          <mc:Choice Requires="x14">
            <control shapeId="112609" r:id="rId18" name="Drop Down 3041">
              <controlPr locked="0" defaultSize="0" autoFill="0" autoPict="0">
                <anchor moveWithCells="1">
                  <from>
                    <xdr:col>6</xdr:col>
                    <xdr:colOff>428625</xdr:colOff>
                    <xdr:row>53</xdr:row>
                    <xdr:rowOff>85725</xdr:rowOff>
                  </from>
                  <to>
                    <xdr:col>6</xdr:col>
                    <xdr:colOff>933450</xdr:colOff>
                    <xdr:row>53</xdr:row>
                    <xdr:rowOff>304800</xdr:rowOff>
                  </to>
                </anchor>
              </controlPr>
            </control>
          </mc:Choice>
        </mc:AlternateContent>
        <mc:AlternateContent xmlns:mc="http://schemas.openxmlformats.org/markup-compatibility/2006">
          <mc:Choice Requires="x14">
            <control shapeId="112610" r:id="rId19" name="Drop Down 3042">
              <controlPr locked="0" defaultSize="0" autoFill="0" autoPict="0">
                <anchor moveWithCells="1">
                  <from>
                    <xdr:col>6</xdr:col>
                    <xdr:colOff>428625</xdr:colOff>
                    <xdr:row>56</xdr:row>
                    <xdr:rowOff>85725</xdr:rowOff>
                  </from>
                  <to>
                    <xdr:col>6</xdr:col>
                    <xdr:colOff>933450</xdr:colOff>
                    <xdr:row>56</xdr:row>
                    <xdr:rowOff>304800</xdr:rowOff>
                  </to>
                </anchor>
              </controlPr>
            </control>
          </mc:Choice>
        </mc:AlternateContent>
        <mc:AlternateContent xmlns:mc="http://schemas.openxmlformats.org/markup-compatibility/2006">
          <mc:Choice Requires="x14">
            <control shapeId="112611" r:id="rId20" name="Drop Down 3043">
              <controlPr locked="0" defaultSize="0" autoFill="0" autoPict="0">
                <anchor moveWithCells="1">
                  <from>
                    <xdr:col>6</xdr:col>
                    <xdr:colOff>428625</xdr:colOff>
                    <xdr:row>60</xdr:row>
                    <xdr:rowOff>85725</xdr:rowOff>
                  </from>
                  <to>
                    <xdr:col>6</xdr:col>
                    <xdr:colOff>933450</xdr:colOff>
                    <xdr:row>60</xdr:row>
                    <xdr:rowOff>304800</xdr:rowOff>
                  </to>
                </anchor>
              </controlPr>
            </control>
          </mc:Choice>
        </mc:AlternateContent>
        <mc:AlternateContent xmlns:mc="http://schemas.openxmlformats.org/markup-compatibility/2006">
          <mc:Choice Requires="x14">
            <control shapeId="112612" r:id="rId21" name="Drop Down 3044">
              <controlPr locked="0" defaultSize="0" autoFill="0" autoPict="0">
                <anchor moveWithCells="1">
                  <from>
                    <xdr:col>6</xdr:col>
                    <xdr:colOff>428625</xdr:colOff>
                    <xdr:row>63</xdr:row>
                    <xdr:rowOff>85725</xdr:rowOff>
                  </from>
                  <to>
                    <xdr:col>6</xdr:col>
                    <xdr:colOff>933450</xdr:colOff>
                    <xdr:row>63</xdr:row>
                    <xdr:rowOff>304800</xdr:rowOff>
                  </to>
                </anchor>
              </controlPr>
            </control>
          </mc:Choice>
        </mc:AlternateContent>
        <mc:AlternateContent xmlns:mc="http://schemas.openxmlformats.org/markup-compatibility/2006">
          <mc:Choice Requires="x14">
            <control shapeId="112613" r:id="rId22" name="Drop Down 3045">
              <controlPr locked="0" defaultSize="0" autoFill="0" autoPict="0">
                <anchor moveWithCells="1">
                  <from>
                    <xdr:col>6</xdr:col>
                    <xdr:colOff>428625</xdr:colOff>
                    <xdr:row>66</xdr:row>
                    <xdr:rowOff>85725</xdr:rowOff>
                  </from>
                  <to>
                    <xdr:col>6</xdr:col>
                    <xdr:colOff>933450</xdr:colOff>
                    <xdr:row>66</xdr:row>
                    <xdr:rowOff>304800</xdr:rowOff>
                  </to>
                </anchor>
              </controlPr>
            </control>
          </mc:Choice>
        </mc:AlternateContent>
        <mc:AlternateContent xmlns:mc="http://schemas.openxmlformats.org/markup-compatibility/2006">
          <mc:Choice Requires="x14">
            <control shapeId="112614" r:id="rId23" name="Drop Down 3046">
              <controlPr locked="0" defaultSize="0" autoFill="0" autoPict="0">
                <anchor moveWithCells="1">
                  <from>
                    <xdr:col>6</xdr:col>
                    <xdr:colOff>428625</xdr:colOff>
                    <xdr:row>69</xdr:row>
                    <xdr:rowOff>85725</xdr:rowOff>
                  </from>
                  <to>
                    <xdr:col>6</xdr:col>
                    <xdr:colOff>933450</xdr:colOff>
                    <xdr:row>69</xdr:row>
                    <xdr:rowOff>304800</xdr:rowOff>
                  </to>
                </anchor>
              </controlPr>
            </control>
          </mc:Choice>
        </mc:AlternateContent>
        <mc:AlternateContent xmlns:mc="http://schemas.openxmlformats.org/markup-compatibility/2006">
          <mc:Choice Requires="x14">
            <control shapeId="112615" r:id="rId24" name="Drop Down 3047">
              <controlPr locked="0" defaultSize="0" autoFill="0" autoPict="0">
                <anchor moveWithCells="1">
                  <from>
                    <xdr:col>6</xdr:col>
                    <xdr:colOff>428625</xdr:colOff>
                    <xdr:row>72</xdr:row>
                    <xdr:rowOff>85725</xdr:rowOff>
                  </from>
                  <to>
                    <xdr:col>6</xdr:col>
                    <xdr:colOff>933450</xdr:colOff>
                    <xdr:row>72</xdr:row>
                    <xdr:rowOff>304800</xdr:rowOff>
                  </to>
                </anchor>
              </controlPr>
            </control>
          </mc:Choice>
        </mc:AlternateContent>
        <mc:AlternateContent xmlns:mc="http://schemas.openxmlformats.org/markup-compatibility/2006">
          <mc:Choice Requires="x14">
            <control shapeId="112616" r:id="rId25" name="Drop Down 3048">
              <controlPr locked="0" defaultSize="0" autoFill="0" autoPict="0">
                <anchor moveWithCells="1">
                  <from>
                    <xdr:col>6</xdr:col>
                    <xdr:colOff>428625</xdr:colOff>
                    <xdr:row>75</xdr:row>
                    <xdr:rowOff>85725</xdr:rowOff>
                  </from>
                  <to>
                    <xdr:col>6</xdr:col>
                    <xdr:colOff>933450</xdr:colOff>
                    <xdr:row>75</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00B050"/>
    <pageSetUpPr autoPageBreaks="0" fitToPage="1"/>
  </sheetPr>
  <dimension ref="A1:AV61"/>
  <sheetViews>
    <sheetView showGridLines="0" zoomScale="80" zoomScaleNormal="80" workbookViewId="0">
      <selection activeCell="E2" sqref="E1:E1048576"/>
    </sheetView>
  </sheetViews>
  <sheetFormatPr defaultColWidth="9.140625" defaultRowHeight="15" x14ac:dyDescent="0.25"/>
  <cols>
    <col min="1" max="1" width="4.140625" style="13" customWidth="1"/>
    <col min="2" max="2" width="3.42578125" style="13" hidden="1" customWidth="1"/>
    <col min="3" max="3" width="15.5703125" style="13" hidden="1" customWidth="1"/>
    <col min="4" max="4" width="51" style="13" customWidth="1"/>
    <col min="5" max="5" width="13.5703125" style="13" hidden="1" customWidth="1"/>
    <col min="6" max="6" width="18.7109375" style="13" customWidth="1"/>
    <col min="7" max="7" width="6.7109375" style="13" customWidth="1"/>
    <col min="8" max="8" width="18.7109375" style="13" customWidth="1"/>
    <col min="9" max="9" width="6.7109375" style="13" customWidth="1"/>
    <col min="10" max="10" width="14.42578125" style="13" customWidth="1"/>
    <col min="11" max="15" width="9.140625" style="13"/>
    <col min="16" max="18" width="9.140625" style="13" customWidth="1"/>
    <col min="19" max="24" width="9.140625" style="13"/>
    <col min="25" max="25" width="9.140625" style="13" customWidth="1"/>
    <col min="26" max="43" width="9.140625" style="13" hidden="1" customWidth="1"/>
    <col min="44" max="44" width="21.7109375" style="13" hidden="1" customWidth="1"/>
    <col min="45" max="48" width="9.140625" style="13" hidden="1" customWidth="1"/>
    <col min="49" max="54" width="0" style="13" hidden="1" customWidth="1"/>
    <col min="55" max="16384" width="9.140625" style="13"/>
  </cols>
  <sheetData>
    <row r="1" spans="1:44" ht="111.6" customHeight="1" x14ac:dyDescent="0.25">
      <c r="D1" s="310" t="str">
        <f>"Aggregated maturity levels"&amp;CHAR(10)&amp;profile_name_of_organisation</f>
        <v xml:space="preserve">Aggregated maturity levels
</v>
      </c>
      <c r="E1" s="310"/>
      <c r="F1" s="310"/>
      <c r="G1" s="310"/>
      <c r="H1" s="310"/>
      <c r="I1" s="310"/>
      <c r="J1" s="115"/>
      <c r="K1" s="115"/>
      <c r="L1" s="115"/>
      <c r="M1" s="115"/>
      <c r="N1" s="115"/>
      <c r="O1" s="115"/>
      <c r="P1" s="115"/>
      <c r="Q1" s="115"/>
      <c r="R1" s="115"/>
      <c r="S1" s="115"/>
      <c r="T1" s="115"/>
      <c r="AE1" s="309" t="s">
        <v>62</v>
      </c>
      <c r="AF1" s="309"/>
      <c r="AG1" s="309"/>
      <c r="AH1" s="309" t="s">
        <v>133</v>
      </c>
      <c r="AI1" s="309"/>
      <c r="AJ1" s="309"/>
      <c r="AK1" s="309" t="s">
        <v>120</v>
      </c>
      <c r="AL1" s="309"/>
      <c r="AM1" s="309"/>
      <c r="AR1" s="49"/>
    </row>
    <row r="2" spans="1:44" s="7" customFormat="1" ht="31.5" x14ac:dyDescent="0.25">
      <c r="B2" s="6"/>
      <c r="C2" s="6"/>
      <c r="D2" s="35"/>
      <c r="E2" s="161"/>
      <c r="F2" s="303" t="s">
        <v>158</v>
      </c>
      <c r="G2" s="304"/>
      <c r="H2" s="303" t="s">
        <v>12</v>
      </c>
      <c r="I2" s="304"/>
      <c r="J2" s="161" t="s">
        <v>135</v>
      </c>
      <c r="K2"/>
      <c r="AC2" s="7" t="s">
        <v>159</v>
      </c>
      <c r="AD2" s="7" t="s">
        <v>13</v>
      </c>
      <c r="AE2" s="109" t="s">
        <v>90</v>
      </c>
      <c r="AF2" s="109" t="s">
        <v>91</v>
      </c>
      <c r="AG2" s="109" t="s">
        <v>92</v>
      </c>
      <c r="AH2" s="109" t="s">
        <v>90</v>
      </c>
      <c r="AI2" s="109" t="s">
        <v>91</v>
      </c>
      <c r="AJ2" s="109" t="s">
        <v>92</v>
      </c>
      <c r="AK2" s="109" t="s">
        <v>90</v>
      </c>
      <c r="AL2" s="109" t="s">
        <v>91</v>
      </c>
      <c r="AM2" s="109" t="s">
        <v>92</v>
      </c>
      <c r="AN2" s="109"/>
      <c r="AO2" s="109"/>
      <c r="AP2" s="109"/>
      <c r="AR2" s="165"/>
    </row>
    <row r="3" spans="1:44" ht="30" hidden="1" customHeight="1" x14ac:dyDescent="0.25">
      <c r="A3" s="7"/>
      <c r="B3" s="22"/>
      <c r="C3" s="22"/>
      <c r="D3" s="128"/>
      <c r="E3" s="132"/>
      <c r="F3" s="26"/>
      <c r="G3" s="27"/>
      <c r="H3" s="23"/>
      <c r="I3" s="25"/>
      <c r="AB3" s="29"/>
      <c r="AC3" s="29"/>
      <c r="AD3" s="31"/>
      <c r="AE3" s="31"/>
      <c r="AF3" s="31"/>
      <c r="AG3" s="31"/>
      <c r="AH3" s="31"/>
      <c r="AI3" s="31"/>
      <c r="AJ3" s="31"/>
      <c r="AK3" s="31"/>
      <c r="AL3" s="31"/>
    </row>
    <row r="4" spans="1:44" ht="30" customHeight="1" x14ac:dyDescent="0.25">
      <c r="A4" s="7"/>
      <c r="B4" s="89" t="str">
        <f>'MMAT Ref'!AB2</f>
        <v>A</v>
      </c>
      <c r="C4" s="89" t="str">
        <f t="shared" ref="C4:C28" ca="1" si="0">VLOOKUP(B4,MMAT_Text_Ref,3,FALSE)</f>
        <v>Preparation</v>
      </c>
      <c r="D4" s="157" t="str">
        <f t="shared" ref="D4:D28" ca="1" si="1">VLOOKUP(B4,MMAT_Text_Ref,2,FALSE)&amp; " - "&amp;C4</f>
        <v>Stage A - Preparation</v>
      </c>
      <c r="E4" s="158"/>
      <c r="F4" s="311" t="str">
        <f ca="1">$AR$4</f>
        <v>Maturity level: Level 1</v>
      </c>
      <c r="G4" s="311"/>
      <c r="H4" s="311"/>
      <c r="I4" s="311"/>
      <c r="J4" s="159"/>
      <c r="K4"/>
      <c r="L4"/>
      <c r="M4"/>
      <c r="P4" s="49" t="b">
        <v>1</v>
      </c>
      <c r="Q4" s="49" t="b">
        <v>1</v>
      </c>
      <c r="R4" s="49" t="b">
        <v>1</v>
      </c>
      <c r="AA4" s="13" t="str">
        <f>'MMAT Ref'!Q2</f>
        <v>A.1</v>
      </c>
      <c r="AB4" s="29" t="str">
        <f t="shared" ref="AB4:AB18" si="2">AA4&amp;" - "&amp;VLOOKUP(AA4,textref,3,FALSE)</f>
        <v>A.1 - Maintain a technical security assurance framework</v>
      </c>
      <c r="AC4" s="30">
        <f t="shared" ref="AC4:AC25" ca="1" si="3">VLOOKUP(AA4,MMAT_Results,2,FALSE)</f>
        <v>1</v>
      </c>
      <c r="AD4" s="31">
        <f t="shared" ref="AD4:AD25" ca="1" si="4">VLOOKUP(AA4,Aggregated_Maturity_Levels,7,FALSE)</f>
        <v>2</v>
      </c>
      <c r="AE4" s="31">
        <f ca="1">IF(LEFT($AB4,1)=AE$2,$AC4,"")</f>
        <v>1</v>
      </c>
      <c r="AF4" s="31"/>
      <c r="AG4" s="31"/>
      <c r="AH4" s="31">
        <f ca="1">IF(LEFT($AB4,1)=AH$2,$AD4,"")</f>
        <v>2</v>
      </c>
      <c r="AI4" s="31"/>
      <c r="AJ4" s="31"/>
      <c r="AK4" s="164">
        <f>J5</f>
        <v>4</v>
      </c>
      <c r="AL4" s="31"/>
      <c r="AM4" s="31"/>
      <c r="AR4" s="13" t="str">
        <f ca="1">"Maturity level: Level "&amp;MIN(G5:G11)</f>
        <v>Maturity level: Level 1</v>
      </c>
    </row>
    <row r="5" spans="1:44" ht="30" customHeight="1" x14ac:dyDescent="0.25">
      <c r="A5" s="7"/>
      <c r="B5" s="8" t="str">
        <f>'MMAT Ref'!AB3</f>
        <v>A.1</v>
      </c>
      <c r="C5" s="8" t="str">
        <f t="shared" ca="1" si="0"/>
        <v>Maintain a technical security assurance framework</v>
      </c>
      <c r="D5" s="129" t="str">
        <f t="shared" ca="1" si="1"/>
        <v>Step 1 - Maintain a technical security assurance framework</v>
      </c>
      <c r="E5" s="162"/>
      <c r="F5" s="26">
        <f t="shared" ref="F5:F11" ca="1" si="5">VLOOKUP(B5,MaturityLevelsTable,3,FALSE)</f>
        <v>1</v>
      </c>
      <c r="G5" s="217">
        <f ca="1">IF(ISERROR(F5),"",F5)</f>
        <v>1</v>
      </c>
      <c r="H5" s="23">
        <f>I5</f>
        <v>2</v>
      </c>
      <c r="I5" s="211">
        <f>Targets!F5</f>
        <v>2</v>
      </c>
      <c r="J5" s="218">
        <v>4</v>
      </c>
      <c r="AA5" s="13" t="str">
        <f>'MMAT Ref'!Q3</f>
        <v>A.2</v>
      </c>
      <c r="AB5" s="29" t="str">
        <f t="shared" si="2"/>
        <v>A.2 - Establish a penetration testing governance structure</v>
      </c>
      <c r="AC5" s="30">
        <f t="shared" ca="1" si="3"/>
        <v>1</v>
      </c>
      <c r="AD5" s="31">
        <f t="shared" ca="1" si="4"/>
        <v>2</v>
      </c>
      <c r="AE5" s="31">
        <f ca="1">IF(LEFT($AB5,1)=AE$2,$AC5,"")</f>
        <v>1</v>
      </c>
      <c r="AF5" s="31"/>
      <c r="AG5" s="31"/>
      <c r="AH5" s="31">
        <f t="shared" ref="AH5:AH10" ca="1" si="6">IF(LEFT($AB5,1)=AH$2,$AD5,"")</f>
        <v>2</v>
      </c>
      <c r="AI5" s="31"/>
      <c r="AJ5" s="31"/>
      <c r="AK5" s="164">
        <f>J6</f>
        <v>3</v>
      </c>
      <c r="AL5" s="31"/>
      <c r="AM5" s="31"/>
      <c r="AR5" s="13" t="str">
        <f ca="1">"Maturity level: Level "&amp;MIN(G13:G21)</f>
        <v>Maturity level: Level 1</v>
      </c>
    </row>
    <row r="6" spans="1:44" ht="30" customHeight="1" x14ac:dyDescent="0.25">
      <c r="B6" s="8" t="str">
        <f>'MMAT Ref'!AB4</f>
        <v>A.2</v>
      </c>
      <c r="C6" s="8" t="str">
        <f t="shared" ca="1" si="0"/>
        <v>Establish a penetration testing governance structure</v>
      </c>
      <c r="D6" s="130" t="str">
        <f t="shared" ca="1" si="1"/>
        <v>Step 2 - Establish a penetration testing governance structure</v>
      </c>
      <c r="E6" s="162"/>
      <c r="F6" s="26">
        <f t="shared" ca="1" si="5"/>
        <v>1</v>
      </c>
      <c r="G6" s="217">
        <f t="shared" ref="G6:G8" ca="1" si="7">IF(ISERROR(F6),"",F6)</f>
        <v>1</v>
      </c>
      <c r="H6" s="23">
        <f t="shared" ref="H6:H8" si="8">I6</f>
        <v>2</v>
      </c>
      <c r="I6" s="211">
        <f>Targets!F6</f>
        <v>2</v>
      </c>
      <c r="J6" s="218">
        <v>3</v>
      </c>
      <c r="AA6" s="13" t="str">
        <f>'MMAT Ref'!Q4</f>
        <v>A.3</v>
      </c>
      <c r="AB6" s="29" t="str">
        <f t="shared" si="2"/>
        <v>A.3 - Evaluate drivers for conducting penetration tests</v>
      </c>
      <c r="AC6" s="30">
        <f t="shared" ca="1" si="3"/>
        <v>1</v>
      </c>
      <c r="AD6" s="31">
        <f t="shared" ca="1" si="4"/>
        <v>2</v>
      </c>
      <c r="AE6" s="31">
        <f ca="1">IF(LEFT($AB6,1)=AE$2,$AC6,"")</f>
        <v>1</v>
      </c>
      <c r="AF6" s="31"/>
      <c r="AG6" s="31"/>
      <c r="AH6" s="31">
        <f t="shared" ca="1" si="6"/>
        <v>2</v>
      </c>
      <c r="AI6" s="31"/>
      <c r="AJ6" s="31"/>
      <c r="AK6" s="164">
        <f>J7</f>
        <v>2</v>
      </c>
      <c r="AL6" s="31"/>
      <c r="AM6" s="31"/>
      <c r="AR6" s="13" t="str">
        <f ca="1">"Maturity level: Level "&amp;MIN(G23:G28)</f>
        <v>Maturity level: Level 1</v>
      </c>
    </row>
    <row r="7" spans="1:44" ht="30" customHeight="1" x14ac:dyDescent="0.25">
      <c r="B7" s="8" t="str">
        <f>'MMAT Ref'!AB5</f>
        <v>A.3</v>
      </c>
      <c r="C7" s="8" t="str">
        <f t="shared" ca="1" si="0"/>
        <v>Evaluate drivers for conducting penetration tests</v>
      </c>
      <c r="D7" s="130" t="str">
        <f t="shared" ca="1" si="1"/>
        <v>Step 3 - Evaluate drivers for conducting penetration tests</v>
      </c>
      <c r="E7" s="162"/>
      <c r="F7" s="26">
        <f t="shared" ca="1" si="5"/>
        <v>1</v>
      </c>
      <c r="G7" s="217">
        <f t="shared" ca="1" si="7"/>
        <v>1</v>
      </c>
      <c r="H7" s="23">
        <f t="shared" si="8"/>
        <v>2</v>
      </c>
      <c r="I7" s="211">
        <f>Targets!F7</f>
        <v>2</v>
      </c>
      <c r="J7" s="218">
        <v>2</v>
      </c>
      <c r="AA7" s="13" t="str">
        <f>'MMAT Ref'!Q5</f>
        <v>A.4</v>
      </c>
      <c r="AB7" s="29" t="str">
        <f t="shared" si="2"/>
        <v>A.4 - Identify target environments</v>
      </c>
      <c r="AC7" s="30">
        <f t="shared" ca="1" si="3"/>
        <v>1</v>
      </c>
      <c r="AD7" s="31">
        <f t="shared" ca="1" si="4"/>
        <v>2</v>
      </c>
      <c r="AE7" s="31">
        <f ca="1">IF(LEFT($AB7,1)=AE$2,$AC7,"")</f>
        <v>1</v>
      </c>
      <c r="AF7" s="31"/>
      <c r="AG7" s="31"/>
      <c r="AH7" s="31">
        <f t="shared" ca="1" si="6"/>
        <v>2</v>
      </c>
      <c r="AI7" s="31"/>
      <c r="AJ7" s="31"/>
      <c r="AK7" s="164">
        <f>J8</f>
        <v>3</v>
      </c>
      <c r="AL7" s="31"/>
      <c r="AM7" s="31"/>
    </row>
    <row r="8" spans="1:44" ht="30" customHeight="1" x14ac:dyDescent="0.25">
      <c r="B8" s="8" t="str">
        <f>'MMAT Ref'!AB6</f>
        <v>A.4</v>
      </c>
      <c r="C8" s="8" t="str">
        <f t="shared" ca="1" si="0"/>
        <v>Identify target environments</v>
      </c>
      <c r="D8" s="131" t="str">
        <f t="shared" ca="1" si="1"/>
        <v>Step 4 - Identify target environments</v>
      </c>
      <c r="E8" s="178"/>
      <c r="F8" s="26">
        <f t="shared" ca="1" si="5"/>
        <v>1</v>
      </c>
      <c r="G8" s="217">
        <f t="shared" ca="1" si="7"/>
        <v>1</v>
      </c>
      <c r="H8" s="23">
        <f t="shared" si="8"/>
        <v>2</v>
      </c>
      <c r="I8" s="211">
        <f>Targets!F8</f>
        <v>2</v>
      </c>
      <c r="J8" s="218">
        <v>3</v>
      </c>
      <c r="AA8" s="13" t="str">
        <f>'MMAT Ref'!Q6</f>
        <v>A.5</v>
      </c>
      <c r="AB8" s="29" t="str">
        <f t="shared" si="2"/>
        <v>A.5 - Define the purpose of the penetration tests</v>
      </c>
      <c r="AC8" s="30">
        <f t="shared" ca="1" si="3"/>
        <v>1</v>
      </c>
      <c r="AD8" s="31">
        <f t="shared" ca="1" si="4"/>
        <v>2</v>
      </c>
      <c r="AE8" s="31">
        <f t="shared" ref="AE8:AE10" ca="1" si="9">IF(LEFT($AB8,1)=AE$2,$AC8,"")</f>
        <v>1</v>
      </c>
      <c r="AF8" s="31"/>
      <c r="AG8" s="31"/>
      <c r="AH8" s="31">
        <f t="shared" ca="1" si="6"/>
        <v>2</v>
      </c>
      <c r="AI8" s="31"/>
      <c r="AJ8" s="31"/>
      <c r="AK8" s="164">
        <f t="shared" ref="AK8:AK10" si="10">J9</f>
        <v>2</v>
      </c>
      <c r="AL8" s="164"/>
      <c r="AM8" s="31"/>
    </row>
    <row r="9" spans="1:44" ht="30" customHeight="1" x14ac:dyDescent="0.25">
      <c r="B9" s="8" t="str">
        <f>'MMAT Ref'!AB7</f>
        <v>A.5</v>
      </c>
      <c r="C9" s="8" t="str">
        <f t="shared" ca="1" si="0"/>
        <v>Define the purpose of the penetration tests</v>
      </c>
      <c r="D9" s="131" t="str">
        <f t="shared" ca="1" si="1"/>
        <v>Step 5 - Define the purpose of the penetration tests</v>
      </c>
      <c r="E9" s="178"/>
      <c r="F9" s="26">
        <f t="shared" ca="1" si="5"/>
        <v>1</v>
      </c>
      <c r="G9" s="217">
        <f t="shared" ref="G9" ca="1" si="11">IF(ISERROR(F9),"",F9)</f>
        <v>1</v>
      </c>
      <c r="H9" s="23">
        <f t="shared" ref="H9" si="12">I9</f>
        <v>2</v>
      </c>
      <c r="I9" s="211">
        <f>Targets!F9</f>
        <v>2</v>
      </c>
      <c r="J9" s="218">
        <v>2</v>
      </c>
      <c r="AA9" s="13" t="str">
        <f>'MMAT Ref'!Q7</f>
        <v>A.6</v>
      </c>
      <c r="AB9" s="29" t="str">
        <f t="shared" si="2"/>
        <v>A.6 - Produce requirements specifications</v>
      </c>
      <c r="AC9" s="30">
        <f t="shared" ca="1" si="3"/>
        <v>1</v>
      </c>
      <c r="AD9" s="31">
        <f t="shared" ca="1" si="4"/>
        <v>2</v>
      </c>
      <c r="AE9" s="31">
        <f t="shared" ca="1" si="9"/>
        <v>1</v>
      </c>
      <c r="AF9" s="31"/>
      <c r="AG9" s="31"/>
      <c r="AH9" s="31">
        <f t="shared" ca="1" si="6"/>
        <v>2</v>
      </c>
      <c r="AI9" s="31"/>
      <c r="AJ9" s="31"/>
      <c r="AK9" s="164">
        <f t="shared" si="10"/>
        <v>4</v>
      </c>
      <c r="AL9" s="164"/>
      <c r="AM9" s="31"/>
    </row>
    <row r="10" spans="1:44" ht="30" customHeight="1" x14ac:dyDescent="0.25">
      <c r="B10" s="8" t="str">
        <f>'MMAT Ref'!AB8</f>
        <v>A.6</v>
      </c>
      <c r="C10" s="8" t="str">
        <f t="shared" ca="1" si="0"/>
        <v>Produce requirements specifications</v>
      </c>
      <c r="D10" s="8" t="str">
        <f t="shared" ca="1" si="1"/>
        <v>Step 6 - Produce requirements specifications</v>
      </c>
      <c r="E10" s="162"/>
      <c r="F10" s="26">
        <f t="shared" ca="1" si="5"/>
        <v>1</v>
      </c>
      <c r="G10" s="217">
        <f t="shared" ref="G10:G15" ca="1" si="13">IF(ISERROR(F10),"",F10)</f>
        <v>1</v>
      </c>
      <c r="H10" s="23">
        <f t="shared" ref="H10:H15" si="14">I10</f>
        <v>2</v>
      </c>
      <c r="I10" s="211">
        <f>Targets!F10</f>
        <v>2</v>
      </c>
      <c r="J10" s="218">
        <v>4</v>
      </c>
      <c r="AA10" s="13" t="str">
        <f>'MMAT Ref'!Q8</f>
        <v>A.7</v>
      </c>
      <c r="AB10" s="29" t="str">
        <f t="shared" si="2"/>
        <v>A.7 - Select suitable suppliers</v>
      </c>
      <c r="AC10" s="30">
        <f t="shared" ca="1" si="3"/>
        <v>1</v>
      </c>
      <c r="AD10" s="31">
        <f t="shared" ca="1" si="4"/>
        <v>2</v>
      </c>
      <c r="AE10" s="31">
        <f t="shared" ca="1" si="9"/>
        <v>1</v>
      </c>
      <c r="AF10" s="31"/>
      <c r="AG10" s="31"/>
      <c r="AH10" s="31">
        <f t="shared" ca="1" si="6"/>
        <v>2</v>
      </c>
      <c r="AI10" s="31"/>
      <c r="AJ10" s="31"/>
      <c r="AK10" s="164">
        <f t="shared" si="10"/>
        <v>3</v>
      </c>
      <c r="AL10" s="164"/>
      <c r="AM10" s="31"/>
    </row>
    <row r="11" spans="1:44" ht="30" customHeight="1" x14ac:dyDescent="0.25">
      <c r="B11" s="8" t="str">
        <f>'MMAT Ref'!AB9</f>
        <v>A.7</v>
      </c>
      <c r="C11" s="8" t="str">
        <f t="shared" ca="1" si="0"/>
        <v>Select suitable suppliers</v>
      </c>
      <c r="D11" s="129" t="str">
        <f t="shared" ca="1" si="1"/>
        <v>Step 7 - Select suitable suppliers</v>
      </c>
      <c r="E11" s="162"/>
      <c r="F11" s="163">
        <f t="shared" ca="1" si="5"/>
        <v>1</v>
      </c>
      <c r="G11" s="217">
        <f t="shared" ca="1" si="13"/>
        <v>1</v>
      </c>
      <c r="H11" s="23">
        <f t="shared" si="14"/>
        <v>2</v>
      </c>
      <c r="I11" s="211">
        <f>Targets!F11</f>
        <v>2</v>
      </c>
      <c r="J11" s="218">
        <v>3</v>
      </c>
      <c r="AA11" s="13" t="str">
        <f>'MMAT Ref'!Q9</f>
        <v>B.1</v>
      </c>
      <c r="AB11" s="29" t="str">
        <f t="shared" si="2"/>
        <v>B.1 - Agree testing style and type</v>
      </c>
      <c r="AC11" s="30">
        <f t="shared" ca="1" si="3"/>
        <v>1</v>
      </c>
      <c r="AD11" s="31">
        <f t="shared" ca="1" si="4"/>
        <v>2</v>
      </c>
      <c r="AE11" s="31"/>
      <c r="AF11" s="31">
        <f ca="1">IF(LEFT($AB11,1)=AF$2,$AC11,"")</f>
        <v>1</v>
      </c>
      <c r="AG11" s="31"/>
      <c r="AH11" s="31"/>
      <c r="AI11" s="31">
        <f t="shared" ref="AI11:AJ24" ca="1" si="15">IF(LEFT($AB11,1)=AI$2,$AD11,"")</f>
        <v>2</v>
      </c>
      <c r="AJ11" s="31"/>
      <c r="AK11" s="31"/>
      <c r="AL11" s="164">
        <f t="shared" ref="AL11:AL19" si="16">J13</f>
        <v>4</v>
      </c>
      <c r="AM11" s="31"/>
    </row>
    <row r="12" spans="1:44" ht="30" customHeight="1" x14ac:dyDescent="0.25">
      <c r="B12" s="89" t="str">
        <f>'MMAT Ref'!AB10</f>
        <v>B</v>
      </c>
      <c r="C12" s="89" t="str">
        <f t="shared" ca="1" si="0"/>
        <v>Testing</v>
      </c>
      <c r="D12" s="157" t="str">
        <f t="shared" ca="1" si="1"/>
        <v>Stage B - Testing</v>
      </c>
      <c r="E12" s="158"/>
      <c r="F12" s="311" t="str">
        <f ca="1">$AR$5</f>
        <v>Maturity level: Level 1</v>
      </c>
      <c r="G12" s="311"/>
      <c r="H12" s="311"/>
      <c r="I12" s="311"/>
      <c r="J12" s="179"/>
      <c r="AA12" s="13" t="str">
        <f>'MMAT Ref'!Q10</f>
        <v>B.2</v>
      </c>
      <c r="AB12" s="29" t="str">
        <f t="shared" si="2"/>
        <v>B.2 - Identify testing constraints</v>
      </c>
      <c r="AC12" s="30">
        <f t="shared" ca="1" si="3"/>
        <v>1</v>
      </c>
      <c r="AD12" s="31">
        <f t="shared" ca="1" si="4"/>
        <v>2</v>
      </c>
      <c r="AE12" s="31"/>
      <c r="AF12" s="31">
        <f ca="1">IF(LEFT($AB12,1)=AF$2,$AC12,"")</f>
        <v>1</v>
      </c>
      <c r="AG12" s="31"/>
      <c r="AH12" s="31"/>
      <c r="AI12" s="31">
        <f t="shared" ca="1" si="15"/>
        <v>2</v>
      </c>
      <c r="AJ12" s="31"/>
      <c r="AK12" s="31"/>
      <c r="AL12" s="164">
        <f t="shared" si="16"/>
        <v>4</v>
      </c>
      <c r="AM12" s="31"/>
    </row>
    <row r="13" spans="1:44" ht="30" customHeight="1" x14ac:dyDescent="0.25">
      <c r="B13" s="8" t="str">
        <f>'MMAT Ref'!AB11</f>
        <v>B.1</v>
      </c>
      <c r="C13" s="8" t="str">
        <f t="shared" ca="1" si="0"/>
        <v>Agree testing style and type</v>
      </c>
      <c r="D13" s="129" t="str">
        <f t="shared" ca="1" si="1"/>
        <v>Step 1 - Agree testing style and type</v>
      </c>
      <c r="E13" s="162"/>
      <c r="F13" s="26">
        <f t="shared" ref="F13:F21" ca="1" si="17">VLOOKUP(B13,MaturityLevelsTable,3,FALSE)</f>
        <v>1</v>
      </c>
      <c r="G13" s="217">
        <f t="shared" ca="1" si="13"/>
        <v>1</v>
      </c>
      <c r="H13" s="23">
        <f t="shared" si="14"/>
        <v>2</v>
      </c>
      <c r="I13" s="211">
        <f>Targets!F13</f>
        <v>2</v>
      </c>
      <c r="J13" s="218">
        <v>4</v>
      </c>
      <c r="AA13" s="13" t="str">
        <f>'MMAT Ref'!Q11</f>
        <v>B.3</v>
      </c>
      <c r="AB13" s="29" t="str">
        <f t="shared" si="2"/>
        <v>B.3 - Produce scope statements</v>
      </c>
      <c r="AC13" s="30">
        <f t="shared" ca="1" si="3"/>
        <v>1</v>
      </c>
      <c r="AD13" s="31">
        <f t="shared" ca="1" si="4"/>
        <v>2</v>
      </c>
      <c r="AE13" s="31"/>
      <c r="AF13" s="31">
        <f t="shared" ref="AF13:AG25" ca="1" si="18">IF(LEFT($AB13,1)=AF$2,$AC13,"")</f>
        <v>1</v>
      </c>
      <c r="AG13" s="31"/>
      <c r="AH13" s="31"/>
      <c r="AI13" s="31">
        <f t="shared" ca="1" si="15"/>
        <v>2</v>
      </c>
      <c r="AJ13" s="31"/>
      <c r="AK13" s="31"/>
      <c r="AL13" s="164">
        <f t="shared" si="16"/>
        <v>4</v>
      </c>
      <c r="AM13" s="164"/>
    </row>
    <row r="14" spans="1:44" ht="30" customHeight="1" x14ac:dyDescent="0.25">
      <c r="B14" s="8" t="str">
        <f>'MMAT Ref'!AB12</f>
        <v>B.2</v>
      </c>
      <c r="C14" s="8" t="str">
        <f t="shared" ca="1" si="0"/>
        <v>Identify testing constraints</v>
      </c>
      <c r="D14" s="8" t="str">
        <f t="shared" ca="1" si="1"/>
        <v>Step 2 - Identify testing constraints</v>
      </c>
      <c r="E14" s="178"/>
      <c r="F14" s="26">
        <f t="shared" ca="1" si="17"/>
        <v>1</v>
      </c>
      <c r="G14" s="217">
        <f t="shared" ca="1" si="13"/>
        <v>1</v>
      </c>
      <c r="H14" s="23">
        <f t="shared" si="14"/>
        <v>2</v>
      </c>
      <c r="I14" s="211">
        <f>Targets!F14</f>
        <v>2</v>
      </c>
      <c r="J14" s="218">
        <v>4</v>
      </c>
      <c r="AA14" s="13" t="str">
        <f>'MMAT Ref'!Q12</f>
        <v>B.4</v>
      </c>
      <c r="AB14" s="29" t="str">
        <f t="shared" si="2"/>
        <v>B.4 - Establish a management assurance framework</v>
      </c>
      <c r="AC14" s="30">
        <f t="shared" ca="1" si="3"/>
        <v>1</v>
      </c>
      <c r="AD14" s="31">
        <f t="shared" ca="1" si="4"/>
        <v>2</v>
      </c>
      <c r="AE14" s="31"/>
      <c r="AF14" s="31">
        <f t="shared" ca="1" si="18"/>
        <v>1</v>
      </c>
      <c r="AG14" s="31"/>
      <c r="AH14" s="31"/>
      <c r="AI14" s="31">
        <f t="shared" ca="1" si="15"/>
        <v>2</v>
      </c>
      <c r="AJ14" s="31"/>
      <c r="AK14" s="31"/>
      <c r="AL14" s="164">
        <f t="shared" si="16"/>
        <v>3</v>
      </c>
      <c r="AM14" s="164"/>
    </row>
    <row r="15" spans="1:44" ht="30" customHeight="1" x14ac:dyDescent="0.25">
      <c r="B15" s="8" t="str">
        <f>'MMAT Ref'!AB13</f>
        <v>B.3</v>
      </c>
      <c r="C15" s="8" t="str">
        <f t="shared" ca="1" si="0"/>
        <v>Produce scope statements</v>
      </c>
      <c r="D15" s="8" t="str">
        <f t="shared" ca="1" si="1"/>
        <v>Step 3 - Produce scope statements</v>
      </c>
      <c r="E15" s="162"/>
      <c r="F15" s="26">
        <f t="shared" ca="1" si="17"/>
        <v>1</v>
      </c>
      <c r="G15" s="217">
        <f t="shared" ca="1" si="13"/>
        <v>1</v>
      </c>
      <c r="H15" s="23">
        <f t="shared" si="14"/>
        <v>2</v>
      </c>
      <c r="I15" s="211">
        <f>Targets!F15</f>
        <v>2</v>
      </c>
      <c r="J15" s="218">
        <v>4</v>
      </c>
      <c r="AA15" s="13" t="str">
        <f>'MMAT Ref'!Q13</f>
        <v>B.5</v>
      </c>
      <c r="AB15" s="29" t="str">
        <f t="shared" si="2"/>
        <v>B.5 - Implement management control processes</v>
      </c>
      <c r="AC15" s="30">
        <f t="shared" ca="1" si="3"/>
        <v>1</v>
      </c>
      <c r="AD15" s="31">
        <f t="shared" ca="1" si="4"/>
        <v>2</v>
      </c>
      <c r="AE15" s="31"/>
      <c r="AF15" s="31">
        <f t="shared" ca="1" si="18"/>
        <v>1</v>
      </c>
      <c r="AG15" s="31"/>
      <c r="AH15" s="31"/>
      <c r="AI15" s="31">
        <f t="shared" ca="1" si="15"/>
        <v>2</v>
      </c>
      <c r="AJ15" s="31"/>
      <c r="AK15" s="31"/>
      <c r="AL15" s="164">
        <f t="shared" si="16"/>
        <v>3</v>
      </c>
      <c r="AM15" s="164"/>
    </row>
    <row r="16" spans="1:44" ht="30" customHeight="1" x14ac:dyDescent="0.25">
      <c r="B16" s="8" t="str">
        <f>'MMAT Ref'!AB14</f>
        <v>B.4</v>
      </c>
      <c r="C16" s="8" t="str">
        <f t="shared" ca="1" si="0"/>
        <v>Establish a management assurance framework</v>
      </c>
      <c r="D16" s="129" t="str">
        <f t="shared" ca="1" si="1"/>
        <v>Step 4 - Establish a management assurance framework</v>
      </c>
      <c r="E16" s="162"/>
      <c r="F16" s="26">
        <f t="shared" ca="1" si="17"/>
        <v>1</v>
      </c>
      <c r="G16" s="217">
        <f t="shared" ref="G16:G21" ca="1" si="19">IF(ISERROR(F16),"",F16)</f>
        <v>1</v>
      </c>
      <c r="H16" s="23">
        <f t="shared" ref="H16:H21" si="20">I16</f>
        <v>2</v>
      </c>
      <c r="I16" s="211">
        <f>Targets!F16</f>
        <v>2</v>
      </c>
      <c r="J16" s="218">
        <v>3</v>
      </c>
      <c r="AA16" s="13" t="str">
        <f>'MMAT Ref'!Q14</f>
        <v>B.6</v>
      </c>
      <c r="AB16" s="29" t="str">
        <f t="shared" si="2"/>
        <v>B.6 - Use an effective testing methodology</v>
      </c>
      <c r="AC16" s="30">
        <f t="shared" ca="1" si="3"/>
        <v>1</v>
      </c>
      <c r="AD16" s="31">
        <f t="shared" ca="1" si="4"/>
        <v>2</v>
      </c>
      <c r="AE16" s="31"/>
      <c r="AF16" s="31">
        <f t="shared" ca="1" si="18"/>
        <v>1</v>
      </c>
      <c r="AG16" s="31"/>
      <c r="AH16" s="31"/>
      <c r="AI16" s="31">
        <f t="shared" ca="1" si="15"/>
        <v>2</v>
      </c>
      <c r="AJ16" s="31"/>
      <c r="AK16" s="31"/>
      <c r="AL16" s="164">
        <f t="shared" si="16"/>
        <v>4</v>
      </c>
      <c r="AM16" s="164"/>
    </row>
    <row r="17" spans="2:39" ht="30" customHeight="1" x14ac:dyDescent="0.25">
      <c r="B17" s="8" t="str">
        <f>'MMAT Ref'!AB15</f>
        <v>B.5</v>
      </c>
      <c r="C17" s="8" t="str">
        <f t="shared" ca="1" si="0"/>
        <v>Implement management control processes</v>
      </c>
      <c r="D17" s="129" t="str">
        <f t="shared" ca="1" si="1"/>
        <v>Step 5 - Implement management control processes</v>
      </c>
      <c r="E17" s="162"/>
      <c r="F17" s="26">
        <f t="shared" ca="1" si="17"/>
        <v>1</v>
      </c>
      <c r="G17" s="217">
        <f t="shared" ca="1" si="19"/>
        <v>1</v>
      </c>
      <c r="H17" s="23">
        <f t="shared" si="20"/>
        <v>2</v>
      </c>
      <c r="I17" s="211">
        <f>Targets!F17</f>
        <v>2</v>
      </c>
      <c r="J17" s="218">
        <v>3</v>
      </c>
      <c r="AA17" s="13" t="str">
        <f>'MMAT Ref'!Q15</f>
        <v>B.7</v>
      </c>
      <c r="AB17" s="29" t="str">
        <f t="shared" si="2"/>
        <v>B.7 - Conduct sufficient research and planning</v>
      </c>
      <c r="AC17" s="30">
        <f t="shared" ca="1" si="3"/>
        <v>1</v>
      </c>
      <c r="AD17" s="31">
        <f t="shared" ca="1" si="4"/>
        <v>2</v>
      </c>
      <c r="AE17" s="31"/>
      <c r="AF17" s="31">
        <f t="shared" ca="1" si="18"/>
        <v>1</v>
      </c>
      <c r="AG17" s="31"/>
      <c r="AH17" s="31"/>
      <c r="AI17" s="31">
        <f t="shared" ca="1" si="15"/>
        <v>2</v>
      </c>
      <c r="AJ17" s="31"/>
      <c r="AK17" s="31"/>
      <c r="AL17" s="164">
        <f t="shared" si="16"/>
        <v>5</v>
      </c>
      <c r="AM17" s="164"/>
    </row>
    <row r="18" spans="2:39" ht="30" customHeight="1" x14ac:dyDescent="0.25">
      <c r="B18" s="8" t="str">
        <f>'MMAT Ref'!AB16</f>
        <v>B.6</v>
      </c>
      <c r="C18" s="8" t="str">
        <f t="shared" ca="1" si="0"/>
        <v>Use an effective testing methodology</v>
      </c>
      <c r="D18" s="129" t="str">
        <f t="shared" ca="1" si="1"/>
        <v>Step 6 - Use an effective testing methodology</v>
      </c>
      <c r="E18" s="162"/>
      <c r="F18" s="26">
        <f t="shared" ca="1" si="17"/>
        <v>1</v>
      </c>
      <c r="G18" s="217">
        <f t="shared" ca="1" si="19"/>
        <v>1</v>
      </c>
      <c r="H18" s="23">
        <f t="shared" si="20"/>
        <v>2</v>
      </c>
      <c r="I18" s="211">
        <f>Targets!F18</f>
        <v>2</v>
      </c>
      <c r="J18" s="218">
        <v>4</v>
      </c>
      <c r="AA18" s="13" t="str">
        <f>'MMAT Ref'!Q16</f>
        <v>B.8</v>
      </c>
      <c r="AB18" s="30" t="str">
        <f t="shared" si="2"/>
        <v>B.8 - Identify and exploit vulnerabilities</v>
      </c>
      <c r="AC18" s="30">
        <f t="shared" ca="1" si="3"/>
        <v>1</v>
      </c>
      <c r="AD18" s="31">
        <f t="shared" ca="1" si="4"/>
        <v>2</v>
      </c>
      <c r="AE18" s="28"/>
      <c r="AF18" s="31">
        <f t="shared" ca="1" si="18"/>
        <v>1</v>
      </c>
      <c r="AG18" s="31"/>
      <c r="AH18" s="28"/>
      <c r="AI18" s="31">
        <f t="shared" ca="1" si="15"/>
        <v>2</v>
      </c>
      <c r="AJ18" s="31"/>
      <c r="AK18" s="28"/>
      <c r="AL18" s="164">
        <f t="shared" si="16"/>
        <v>4</v>
      </c>
      <c r="AM18" s="164"/>
    </row>
    <row r="19" spans="2:39" ht="30" customHeight="1" x14ac:dyDescent="0.25">
      <c r="B19" s="8" t="str">
        <f>'MMAT Ref'!AB17</f>
        <v>B.7</v>
      </c>
      <c r="C19" s="8" t="str">
        <f t="shared" ca="1" si="0"/>
        <v>Conduct sufficient research and planning</v>
      </c>
      <c r="D19" s="129" t="str">
        <f t="shared" ca="1" si="1"/>
        <v>Step 7 - Conduct sufficient research and planning</v>
      </c>
      <c r="E19" s="162"/>
      <c r="F19" s="26">
        <f t="shared" ca="1" si="17"/>
        <v>1</v>
      </c>
      <c r="G19" s="217">
        <f t="shared" ca="1" si="19"/>
        <v>1</v>
      </c>
      <c r="H19" s="23">
        <f t="shared" si="20"/>
        <v>2</v>
      </c>
      <c r="I19" s="211">
        <f>Targets!F19</f>
        <v>2</v>
      </c>
      <c r="J19" s="218">
        <v>5</v>
      </c>
      <c r="AA19" s="13" t="str">
        <f>'MMAT Ref'!Q17</f>
        <v>B.9</v>
      </c>
      <c r="AB19" s="30" t="str">
        <f t="shared" ref="AB19:AB25" si="21">AA19&amp;" - "&amp;VLOOKUP(AA19,textref,3,FALSE)</f>
        <v>B.9 - Report key findings</v>
      </c>
      <c r="AC19" s="30">
        <f t="shared" ca="1" si="3"/>
        <v>1</v>
      </c>
      <c r="AD19" s="31">
        <f t="shared" ca="1" si="4"/>
        <v>2</v>
      </c>
      <c r="AE19" s="28"/>
      <c r="AF19" s="31">
        <f t="shared" ca="1" si="18"/>
        <v>1</v>
      </c>
      <c r="AG19" s="28"/>
      <c r="AH19" s="28"/>
      <c r="AI19" s="31">
        <f t="shared" ca="1" si="15"/>
        <v>2</v>
      </c>
      <c r="AJ19" s="28"/>
      <c r="AK19" s="28"/>
      <c r="AL19" s="164">
        <f t="shared" si="16"/>
        <v>4</v>
      </c>
      <c r="AM19" s="28"/>
    </row>
    <row r="20" spans="2:39" ht="30" customHeight="1" x14ac:dyDescent="0.25">
      <c r="B20" s="8" t="str">
        <f>'MMAT Ref'!AB18</f>
        <v>B.8</v>
      </c>
      <c r="C20" s="8" t="str">
        <f t="shared" ca="1" si="0"/>
        <v>Identify and exploit vulnerabilities</v>
      </c>
      <c r="D20" s="129" t="str">
        <f t="shared" ca="1" si="1"/>
        <v>Step 8 - Identify and exploit vulnerabilities</v>
      </c>
      <c r="E20" s="162"/>
      <c r="F20" s="26">
        <f t="shared" ca="1" si="17"/>
        <v>1</v>
      </c>
      <c r="G20" s="217">
        <f t="shared" ca="1" si="19"/>
        <v>1</v>
      </c>
      <c r="H20" s="23">
        <f t="shared" si="20"/>
        <v>2</v>
      </c>
      <c r="I20" s="211">
        <f>Targets!F20</f>
        <v>2</v>
      </c>
      <c r="J20" s="218">
        <v>4</v>
      </c>
      <c r="AA20" s="13" t="str">
        <f>'MMAT Ref'!Q18</f>
        <v>C.1</v>
      </c>
      <c r="AB20" s="30" t="str">
        <f t="shared" si="21"/>
        <v>C.1 - Remediate weaknesses</v>
      </c>
      <c r="AC20" s="30">
        <f t="shared" ca="1" si="3"/>
        <v>1</v>
      </c>
      <c r="AD20" s="31">
        <f t="shared" ca="1" si="4"/>
        <v>2</v>
      </c>
      <c r="AE20" s="28"/>
      <c r="AF20" s="28"/>
      <c r="AG20" s="31">
        <f t="shared" ca="1" si="18"/>
        <v>1</v>
      </c>
      <c r="AH20" s="28"/>
      <c r="AI20" s="28"/>
      <c r="AJ20" s="31">
        <f t="shared" ca="1" si="15"/>
        <v>2</v>
      </c>
      <c r="AK20" s="28"/>
      <c r="AL20" s="28"/>
      <c r="AM20" s="164">
        <f>J23</f>
        <v>2</v>
      </c>
    </row>
    <row r="21" spans="2:39" ht="30" customHeight="1" x14ac:dyDescent="0.25">
      <c r="B21" s="8" t="str">
        <f>'MMAT Ref'!AB19</f>
        <v>B.9</v>
      </c>
      <c r="C21" s="8" t="str">
        <f t="shared" ca="1" si="0"/>
        <v>Report key findings</v>
      </c>
      <c r="D21" s="160" t="str">
        <f t="shared" ca="1" si="1"/>
        <v>Step 9 - Report key findings</v>
      </c>
      <c r="E21" s="178"/>
      <c r="F21" s="26">
        <f t="shared" ca="1" si="17"/>
        <v>1</v>
      </c>
      <c r="G21" s="217">
        <f t="shared" ca="1" si="19"/>
        <v>1</v>
      </c>
      <c r="H21" s="23">
        <f t="shared" si="20"/>
        <v>2</v>
      </c>
      <c r="I21" s="211">
        <f>Targets!F21</f>
        <v>2</v>
      </c>
      <c r="J21" s="218">
        <v>4</v>
      </c>
      <c r="AA21" s="13" t="str">
        <f>'MMAT Ref'!Q19</f>
        <v>C.2</v>
      </c>
      <c r="AB21" s="30" t="str">
        <f t="shared" si="21"/>
        <v>C.2 - Address root causes of weaknesses</v>
      </c>
      <c r="AC21" s="30">
        <f t="shared" ca="1" si="3"/>
        <v>1</v>
      </c>
      <c r="AD21" s="31">
        <f t="shared" ca="1" si="4"/>
        <v>2</v>
      </c>
      <c r="AE21" s="28"/>
      <c r="AF21" s="28"/>
      <c r="AG21" s="31">
        <f t="shared" ca="1" si="18"/>
        <v>1</v>
      </c>
      <c r="AH21" s="28"/>
      <c r="AI21" s="28"/>
      <c r="AJ21" s="31">
        <f t="shared" ca="1" si="15"/>
        <v>2</v>
      </c>
      <c r="AK21" s="28"/>
      <c r="AL21" s="28"/>
      <c r="AM21" s="164">
        <f t="shared" ref="AM21:AM25" si="22">J24</f>
        <v>2</v>
      </c>
    </row>
    <row r="22" spans="2:39" ht="30" customHeight="1" x14ac:dyDescent="0.25">
      <c r="B22" s="89" t="str">
        <f>'MMAT Ref'!AB20</f>
        <v>C</v>
      </c>
      <c r="C22" s="89" t="str">
        <f t="shared" ca="1" si="0"/>
        <v>Follow up</v>
      </c>
      <c r="D22" s="116" t="str">
        <f t="shared" ca="1" si="1"/>
        <v>Stage C - Follow up</v>
      </c>
      <c r="E22" s="127"/>
      <c r="F22" s="312" t="str">
        <f ca="1">$AR$6</f>
        <v>Maturity level: Level 1</v>
      </c>
      <c r="G22" s="312"/>
      <c r="H22" s="312"/>
      <c r="I22" s="312"/>
      <c r="J22" s="155"/>
      <c r="AA22" s="13" t="str">
        <f>'MMAT Ref'!Q20</f>
        <v>C.3</v>
      </c>
      <c r="AB22" s="30" t="str">
        <f t="shared" si="21"/>
        <v>C.3 - Initiate improvement programme</v>
      </c>
      <c r="AC22" s="30">
        <f t="shared" ca="1" si="3"/>
        <v>1</v>
      </c>
      <c r="AD22" s="31">
        <f t="shared" ca="1" si="4"/>
        <v>2</v>
      </c>
      <c r="AE22" s="28"/>
      <c r="AF22" s="28"/>
      <c r="AG22" s="31">
        <f t="shared" ca="1" si="18"/>
        <v>1</v>
      </c>
      <c r="AH22" s="28"/>
      <c r="AI22" s="28"/>
      <c r="AJ22" s="31">
        <f t="shared" ca="1" si="15"/>
        <v>2</v>
      </c>
      <c r="AK22" s="31"/>
      <c r="AL22" s="28"/>
      <c r="AM22" s="164">
        <f t="shared" si="22"/>
        <v>3</v>
      </c>
    </row>
    <row r="23" spans="2:39" ht="30" customHeight="1" x14ac:dyDescent="0.25">
      <c r="B23" s="8" t="str">
        <f>'MMAT Ref'!AB21</f>
        <v>C.1</v>
      </c>
      <c r="C23" s="8" t="str">
        <f t="shared" ca="1" si="0"/>
        <v>Remediate weaknesses</v>
      </c>
      <c r="D23" s="129" t="str">
        <f t="shared" ca="1" si="1"/>
        <v>Step 1 - Remediate weaknesses</v>
      </c>
      <c r="E23" s="162"/>
      <c r="F23" s="26">
        <f t="shared" ref="F23:F28" ca="1" si="23">VLOOKUP(B23,MaturityLevelsTable,3,FALSE)</f>
        <v>1</v>
      </c>
      <c r="G23" s="217">
        <f t="shared" ref="G23:G28" ca="1" si="24">IF(ISERROR(F23),"",F23)</f>
        <v>1</v>
      </c>
      <c r="H23" s="23">
        <f t="shared" ref="H23:H28" si="25">I23</f>
        <v>2</v>
      </c>
      <c r="I23" s="211">
        <f>Targets!F23</f>
        <v>2</v>
      </c>
      <c r="J23" s="218">
        <v>2</v>
      </c>
      <c r="AA23" s="13" t="str">
        <f>'MMAT Ref'!Q21</f>
        <v>C.4</v>
      </c>
      <c r="AB23" s="30" t="str">
        <f t="shared" si="21"/>
        <v>C.4 - Evaluate penetration testing effectiveness</v>
      </c>
      <c r="AC23" s="30">
        <f t="shared" ca="1" si="3"/>
        <v>1</v>
      </c>
      <c r="AD23" s="31">
        <f t="shared" ca="1" si="4"/>
        <v>2</v>
      </c>
      <c r="AE23" s="28"/>
      <c r="AF23" s="28"/>
      <c r="AG23" s="31">
        <f t="shared" ca="1" si="18"/>
        <v>1</v>
      </c>
      <c r="AH23" s="28"/>
      <c r="AI23" s="28"/>
      <c r="AJ23" s="31">
        <f t="shared" ca="1" si="15"/>
        <v>2</v>
      </c>
      <c r="AK23" s="31"/>
      <c r="AL23" s="28"/>
      <c r="AM23" s="164">
        <f t="shared" si="22"/>
        <v>3</v>
      </c>
    </row>
    <row r="24" spans="2:39" ht="30" customHeight="1" x14ac:dyDescent="0.25">
      <c r="B24" s="8" t="str">
        <f>'MMAT Ref'!AB22</f>
        <v>C.2</v>
      </c>
      <c r="C24" s="8" t="str">
        <f t="shared" ca="1" si="0"/>
        <v>Address root causes of weaknesses</v>
      </c>
      <c r="D24" s="129" t="str">
        <f t="shared" ca="1" si="1"/>
        <v>Step 2 - Address root causes of weaknesses</v>
      </c>
      <c r="E24" s="162"/>
      <c r="F24" s="26">
        <f t="shared" ca="1" si="23"/>
        <v>1</v>
      </c>
      <c r="G24" s="217">
        <f t="shared" ca="1" si="24"/>
        <v>1</v>
      </c>
      <c r="H24" s="23">
        <f t="shared" si="25"/>
        <v>2</v>
      </c>
      <c r="I24" s="211">
        <f>Targets!F24</f>
        <v>2</v>
      </c>
      <c r="J24" s="218">
        <v>2</v>
      </c>
      <c r="AA24" s="13" t="str">
        <f>'MMAT Ref'!Q22</f>
        <v>C.5</v>
      </c>
      <c r="AB24" s="30" t="str">
        <f t="shared" si="21"/>
        <v>C.5 - Build on lessons learned</v>
      </c>
      <c r="AC24" s="30">
        <f t="shared" ca="1" si="3"/>
        <v>1</v>
      </c>
      <c r="AD24" s="31">
        <f t="shared" ca="1" si="4"/>
        <v>2</v>
      </c>
      <c r="AE24" s="28"/>
      <c r="AF24" s="28"/>
      <c r="AG24" s="31">
        <f t="shared" ca="1" si="18"/>
        <v>1</v>
      </c>
      <c r="AH24" s="28"/>
      <c r="AI24" s="28"/>
      <c r="AJ24" s="31">
        <f t="shared" ca="1" si="15"/>
        <v>2</v>
      </c>
      <c r="AK24" s="31"/>
      <c r="AL24" s="28"/>
      <c r="AM24" s="164">
        <f t="shared" si="22"/>
        <v>2</v>
      </c>
    </row>
    <row r="25" spans="2:39" ht="30" customHeight="1" x14ac:dyDescent="0.25">
      <c r="B25" s="8" t="str">
        <f>'MMAT Ref'!AB23</f>
        <v>C.3</v>
      </c>
      <c r="C25" s="8" t="str">
        <f t="shared" ca="1" si="0"/>
        <v>Initiate improvement programme</v>
      </c>
      <c r="D25" s="129" t="str">
        <f t="shared" ca="1" si="1"/>
        <v>Step 3 - Initiate improvement programme</v>
      </c>
      <c r="E25" s="162"/>
      <c r="F25" s="26">
        <f t="shared" ca="1" si="23"/>
        <v>1</v>
      </c>
      <c r="G25" s="217">
        <f t="shared" ca="1" si="24"/>
        <v>1</v>
      </c>
      <c r="H25" s="23">
        <f t="shared" si="25"/>
        <v>2</v>
      </c>
      <c r="I25" s="211">
        <f>Targets!F25</f>
        <v>2</v>
      </c>
      <c r="J25" s="218">
        <v>3</v>
      </c>
      <c r="AA25" s="13" t="str">
        <f>'MMAT Ref'!Q23</f>
        <v>C.6</v>
      </c>
      <c r="AB25" s="30" t="str">
        <f t="shared" si="21"/>
        <v>C.6 - Create and monitor action plans</v>
      </c>
      <c r="AC25" s="30">
        <f t="shared" ca="1" si="3"/>
        <v>1</v>
      </c>
      <c r="AD25" s="28">
        <f t="shared" ca="1" si="4"/>
        <v>2</v>
      </c>
      <c r="AE25" s="28"/>
      <c r="AF25" s="28"/>
      <c r="AG25" s="28">
        <f t="shared" ca="1" si="18"/>
        <v>1</v>
      </c>
      <c r="AH25" s="28"/>
      <c r="AI25" s="28"/>
      <c r="AJ25" s="28">
        <f t="shared" ref="AJ25" ca="1" si="26">IF(LEFT($AB25,1)=AJ$2,$AD25,"")</f>
        <v>2</v>
      </c>
      <c r="AK25" s="28"/>
      <c r="AL25" s="28"/>
      <c r="AM25" s="279">
        <f t="shared" si="22"/>
        <v>3</v>
      </c>
    </row>
    <row r="26" spans="2:39" ht="30" customHeight="1" x14ac:dyDescent="0.25">
      <c r="B26" s="8" t="str">
        <f>'MMAT Ref'!AB24</f>
        <v>C.4</v>
      </c>
      <c r="C26" s="8" t="str">
        <f t="shared" ca="1" si="0"/>
        <v>Evaluate penetration testing effectiveness</v>
      </c>
      <c r="D26" s="129" t="str">
        <f t="shared" ca="1" si="1"/>
        <v>Step 4 - Evaluate penetration testing effectiveness</v>
      </c>
      <c r="E26" s="162"/>
      <c r="F26" s="26">
        <f t="shared" ca="1" si="23"/>
        <v>1</v>
      </c>
      <c r="G26" s="217">
        <f t="shared" ca="1" si="24"/>
        <v>1</v>
      </c>
      <c r="H26" s="23">
        <f t="shared" si="25"/>
        <v>2</v>
      </c>
      <c r="I26" s="211">
        <f>Targets!F26</f>
        <v>2</v>
      </c>
      <c r="J26" s="218">
        <v>3</v>
      </c>
      <c r="AA26"/>
      <c r="AB26"/>
      <c r="AC26"/>
      <c r="AD26"/>
      <c r="AE26"/>
      <c r="AF26"/>
      <c r="AG26"/>
      <c r="AH26"/>
      <c r="AI26"/>
      <c r="AJ26"/>
      <c r="AK26"/>
      <c r="AL26"/>
      <c r="AM26"/>
    </row>
    <row r="27" spans="2:39" ht="30" customHeight="1" x14ac:dyDescent="0.25">
      <c r="B27" s="8" t="str">
        <f>'MMAT Ref'!AB25</f>
        <v>C.5</v>
      </c>
      <c r="C27" s="8" t="str">
        <f t="shared" ca="1" si="0"/>
        <v>Build on lessons learned</v>
      </c>
      <c r="D27" s="129" t="str">
        <f t="shared" ca="1" si="1"/>
        <v>Step 5 - Build on lessons learned</v>
      </c>
      <c r="E27" s="162"/>
      <c r="F27" s="26">
        <f t="shared" ca="1" si="23"/>
        <v>1</v>
      </c>
      <c r="G27" s="217">
        <f t="shared" ca="1" si="24"/>
        <v>1</v>
      </c>
      <c r="H27" s="23">
        <f t="shared" si="25"/>
        <v>2</v>
      </c>
      <c r="I27" s="211">
        <f>Targets!F27</f>
        <v>2</v>
      </c>
      <c r="J27" s="218">
        <v>2</v>
      </c>
      <c r="AA27"/>
      <c r="AB27"/>
      <c r="AC27"/>
      <c r="AD27"/>
      <c r="AE27"/>
      <c r="AF27"/>
      <c r="AG27"/>
      <c r="AH27"/>
      <c r="AI27"/>
      <c r="AJ27"/>
      <c r="AK27"/>
      <c r="AL27"/>
      <c r="AM27"/>
    </row>
    <row r="28" spans="2:39" ht="30" customHeight="1" x14ac:dyDescent="0.25">
      <c r="B28" s="8" t="str">
        <f>'MMAT Ref'!AB26</f>
        <v>C.6</v>
      </c>
      <c r="C28" s="8" t="str">
        <f t="shared" ca="1" si="0"/>
        <v>Create and monitor action plans</v>
      </c>
      <c r="D28" s="129" t="str">
        <f t="shared" ca="1" si="1"/>
        <v>Step 6 - Create and monitor action plans</v>
      </c>
      <c r="E28" s="216"/>
      <c r="F28" s="163">
        <f t="shared" ca="1" si="23"/>
        <v>1</v>
      </c>
      <c r="G28" s="219">
        <f t="shared" ca="1" si="24"/>
        <v>1</v>
      </c>
      <c r="H28" s="24">
        <f t="shared" si="25"/>
        <v>2</v>
      </c>
      <c r="I28" s="212">
        <f>Targets!F28</f>
        <v>2</v>
      </c>
      <c r="J28" s="220">
        <v>3</v>
      </c>
      <c r="AA28"/>
      <c r="AB28"/>
      <c r="AC28"/>
      <c r="AD28"/>
      <c r="AE28"/>
      <c r="AF28"/>
      <c r="AG28"/>
      <c r="AH28"/>
      <c r="AI28"/>
      <c r="AJ28"/>
      <c r="AK28"/>
      <c r="AL28"/>
      <c r="AM28"/>
    </row>
    <row r="29" spans="2:39" ht="30" customHeight="1" x14ac:dyDescent="0.25">
      <c r="B29"/>
      <c r="C29"/>
      <c r="D29"/>
      <c r="E29"/>
      <c r="F29"/>
      <c r="G29"/>
      <c r="H29"/>
      <c r="I29"/>
      <c r="J29"/>
      <c r="AA29"/>
      <c r="AB29"/>
      <c r="AC29"/>
      <c r="AD29"/>
      <c r="AE29"/>
      <c r="AF29"/>
      <c r="AG29"/>
      <c r="AH29"/>
      <c r="AI29"/>
      <c r="AJ29"/>
      <c r="AK29"/>
      <c r="AL29"/>
      <c r="AM29"/>
    </row>
    <row r="30" spans="2:39" ht="30" customHeight="1" x14ac:dyDescent="0.25">
      <c r="B30"/>
      <c r="C30"/>
      <c r="D30"/>
      <c r="E30"/>
      <c r="F30"/>
      <c r="G30"/>
      <c r="H30"/>
      <c r="I30"/>
      <c r="J30"/>
      <c r="AA30"/>
      <c r="AB30"/>
      <c r="AC30"/>
      <c r="AD30"/>
      <c r="AE30"/>
      <c r="AF30"/>
      <c r="AG30"/>
      <c r="AH30"/>
      <c r="AI30"/>
      <c r="AJ30"/>
      <c r="AK30"/>
      <c r="AL30"/>
      <c r="AM30"/>
    </row>
    <row r="31" spans="2:39" ht="30" customHeight="1" x14ac:dyDescent="0.25">
      <c r="B31"/>
      <c r="C31"/>
      <c r="D31"/>
      <c r="E31"/>
      <c r="F31"/>
      <c r="G31"/>
      <c r="H31"/>
      <c r="I31"/>
      <c r="J31"/>
      <c r="AA31"/>
      <c r="AB31"/>
      <c r="AC31"/>
      <c r="AD31"/>
      <c r="AE31"/>
      <c r="AF31"/>
      <c r="AG31"/>
      <c r="AH31"/>
      <c r="AI31"/>
      <c r="AJ31"/>
      <c r="AK31"/>
      <c r="AL31"/>
      <c r="AM31"/>
    </row>
    <row r="32" spans="2:39" ht="30" customHeight="1" x14ac:dyDescent="0.25">
      <c r="B32"/>
      <c r="C32"/>
      <c r="D32"/>
      <c r="E32"/>
      <c r="F32"/>
      <c r="G32"/>
      <c r="H32"/>
      <c r="I32"/>
      <c r="J32"/>
      <c r="AA32"/>
      <c r="AB32"/>
      <c r="AE32" s="309"/>
      <c r="AF32" s="309"/>
      <c r="AG32" s="309"/>
      <c r="AH32" s="309"/>
      <c r="AI32" s="309"/>
      <c r="AJ32" s="309"/>
      <c r="AK32" s="309"/>
      <c r="AL32" s="309"/>
      <c r="AM32" s="309"/>
    </row>
    <row r="33" spans="2:46" ht="30" customHeight="1" x14ac:dyDescent="0.25">
      <c r="B33"/>
      <c r="C33"/>
      <c r="D33"/>
      <c r="E33"/>
      <c r="F33"/>
      <c r="G33"/>
      <c r="H33"/>
      <c r="I33"/>
      <c r="J33"/>
      <c r="AA33"/>
      <c r="AB33"/>
      <c r="AC33" s="7"/>
      <c r="AD33" s="7"/>
      <c r="AE33" s="109"/>
      <c r="AF33" s="109"/>
      <c r="AG33" s="109"/>
      <c r="AH33" s="109"/>
      <c r="AI33" s="109"/>
      <c r="AJ33" s="109"/>
      <c r="AK33" s="109"/>
      <c r="AL33" s="109"/>
      <c r="AM33" s="109"/>
    </row>
    <row r="34" spans="2:46" ht="30" customHeight="1" x14ac:dyDescent="0.25">
      <c r="B34"/>
      <c r="C34"/>
      <c r="D34"/>
      <c r="E34"/>
      <c r="F34"/>
      <c r="G34"/>
      <c r="H34"/>
      <c r="I34"/>
      <c r="J34"/>
      <c r="AB34"/>
      <c r="AC34"/>
      <c r="AD34"/>
      <c r="AE34"/>
      <c r="AF34"/>
      <c r="AG34"/>
      <c r="AH34"/>
      <c r="AI34"/>
      <c r="AJ34"/>
      <c r="AK34"/>
      <c r="AL34"/>
      <c r="AM34"/>
      <c r="AN34"/>
      <c r="AO34"/>
      <c r="AP34"/>
      <c r="AQ34"/>
      <c r="AR34"/>
      <c r="AS34"/>
      <c r="AT34"/>
    </row>
    <row r="35" spans="2:46" ht="30" customHeight="1" x14ac:dyDescent="0.25">
      <c r="B35"/>
      <c r="C35"/>
      <c r="D35"/>
      <c r="E35"/>
      <c r="F35"/>
      <c r="G35"/>
      <c r="H35"/>
      <c r="I35"/>
      <c r="J35"/>
      <c r="AB35"/>
      <c r="AC35"/>
      <c r="AD35"/>
      <c r="AE35"/>
      <c r="AF35"/>
      <c r="AG35"/>
      <c r="AH35"/>
      <c r="AI35"/>
      <c r="AJ35"/>
      <c r="AK35"/>
      <c r="AL35"/>
      <c r="AM35"/>
      <c r="AN35"/>
      <c r="AO35"/>
      <c r="AP35"/>
      <c r="AQ35"/>
      <c r="AR35"/>
      <c r="AS35"/>
      <c r="AT35"/>
    </row>
    <row r="36" spans="2:46" ht="30" customHeight="1" x14ac:dyDescent="0.25">
      <c r="B36"/>
      <c r="C36"/>
      <c r="D36"/>
      <c r="E36"/>
      <c r="F36"/>
      <c r="G36"/>
      <c r="H36"/>
      <c r="I36"/>
      <c r="J36"/>
      <c r="AB36"/>
      <c r="AC36"/>
      <c r="AD36"/>
      <c r="AE36"/>
      <c r="AF36"/>
      <c r="AG36"/>
      <c r="AH36"/>
      <c r="AI36"/>
      <c r="AJ36"/>
      <c r="AK36"/>
      <c r="AL36"/>
      <c r="AM36"/>
      <c r="AN36"/>
      <c r="AO36"/>
      <c r="AP36"/>
      <c r="AQ36"/>
      <c r="AR36"/>
      <c r="AS36"/>
      <c r="AT36"/>
    </row>
    <row r="37" spans="2:46" x14ac:dyDescent="0.25">
      <c r="AB37"/>
      <c r="AC37"/>
      <c r="AD37"/>
      <c r="AE37"/>
      <c r="AF37"/>
      <c r="AG37"/>
      <c r="AH37"/>
      <c r="AI37"/>
      <c r="AJ37"/>
      <c r="AK37"/>
      <c r="AL37"/>
      <c r="AM37"/>
      <c r="AN37"/>
      <c r="AO37"/>
      <c r="AP37"/>
      <c r="AQ37"/>
      <c r="AR37"/>
      <c r="AS37"/>
      <c r="AT37"/>
    </row>
    <row r="38" spans="2:46" x14ac:dyDescent="0.25">
      <c r="AB38"/>
      <c r="AC38"/>
      <c r="AD38"/>
      <c r="AE38"/>
      <c r="AF38"/>
      <c r="AG38"/>
      <c r="AH38"/>
      <c r="AI38"/>
      <c r="AJ38"/>
      <c r="AK38"/>
      <c r="AL38"/>
      <c r="AM38"/>
      <c r="AN38"/>
      <c r="AO38"/>
      <c r="AP38"/>
      <c r="AQ38"/>
      <c r="AR38"/>
      <c r="AS38"/>
      <c r="AT38"/>
    </row>
    <row r="39" spans="2:46" x14ac:dyDescent="0.25">
      <c r="AB39"/>
      <c r="AC39"/>
      <c r="AD39"/>
      <c r="AE39"/>
      <c r="AF39"/>
      <c r="AG39"/>
      <c r="AH39"/>
      <c r="AI39"/>
      <c r="AJ39"/>
      <c r="AK39"/>
      <c r="AL39"/>
      <c r="AM39"/>
      <c r="AN39"/>
      <c r="AO39"/>
      <c r="AP39"/>
      <c r="AQ39"/>
      <c r="AR39"/>
      <c r="AS39"/>
      <c r="AT39"/>
    </row>
    <row r="40" spans="2:46" x14ac:dyDescent="0.25">
      <c r="AB40"/>
      <c r="AC40"/>
      <c r="AD40"/>
      <c r="AE40"/>
      <c r="AF40"/>
      <c r="AG40"/>
      <c r="AH40"/>
      <c r="AI40"/>
      <c r="AJ40"/>
      <c r="AK40"/>
      <c r="AL40"/>
      <c r="AM40"/>
      <c r="AN40"/>
      <c r="AO40"/>
      <c r="AP40"/>
      <c r="AQ40"/>
      <c r="AR40"/>
      <c r="AS40"/>
      <c r="AT40"/>
    </row>
    <row r="41" spans="2:46" x14ac:dyDescent="0.25">
      <c r="AB41"/>
      <c r="AC41"/>
      <c r="AD41"/>
      <c r="AE41"/>
      <c r="AF41"/>
      <c r="AG41"/>
      <c r="AH41"/>
      <c r="AI41"/>
      <c r="AJ41"/>
      <c r="AK41"/>
      <c r="AL41"/>
      <c r="AM41"/>
      <c r="AN41"/>
      <c r="AO41"/>
      <c r="AP41"/>
      <c r="AQ41"/>
      <c r="AR41"/>
      <c r="AS41"/>
      <c r="AT41"/>
    </row>
    <row r="42" spans="2:46" x14ac:dyDescent="0.25">
      <c r="AB42"/>
      <c r="AC42"/>
      <c r="AD42"/>
      <c r="AE42"/>
      <c r="AF42"/>
      <c r="AG42"/>
      <c r="AH42"/>
      <c r="AI42"/>
      <c r="AJ42"/>
      <c r="AK42"/>
      <c r="AL42"/>
      <c r="AM42"/>
      <c r="AN42"/>
      <c r="AO42"/>
      <c r="AP42"/>
      <c r="AQ42"/>
      <c r="AR42"/>
      <c r="AS42"/>
      <c r="AT42"/>
    </row>
    <row r="43" spans="2:46" x14ac:dyDescent="0.25">
      <c r="AB43"/>
      <c r="AC43"/>
      <c r="AD43"/>
      <c r="AE43"/>
      <c r="AF43"/>
      <c r="AG43"/>
      <c r="AH43"/>
      <c r="AI43"/>
      <c r="AJ43"/>
      <c r="AK43"/>
      <c r="AL43"/>
      <c r="AM43"/>
      <c r="AN43"/>
      <c r="AO43"/>
      <c r="AP43"/>
      <c r="AQ43"/>
      <c r="AR43"/>
      <c r="AS43"/>
      <c r="AT43"/>
    </row>
    <row r="44" spans="2:46" x14ac:dyDescent="0.25">
      <c r="AB44"/>
      <c r="AC44"/>
      <c r="AD44"/>
      <c r="AE44"/>
      <c r="AF44"/>
      <c r="AG44"/>
      <c r="AH44"/>
      <c r="AI44"/>
      <c r="AJ44"/>
      <c r="AK44"/>
      <c r="AL44"/>
      <c r="AM44"/>
      <c r="AN44"/>
      <c r="AO44"/>
      <c r="AP44"/>
      <c r="AQ44"/>
      <c r="AR44"/>
      <c r="AS44"/>
      <c r="AT44"/>
    </row>
    <row r="45" spans="2:46" x14ac:dyDescent="0.25">
      <c r="AB45"/>
      <c r="AC45"/>
      <c r="AD45"/>
      <c r="AE45"/>
      <c r="AF45"/>
      <c r="AG45"/>
      <c r="AH45"/>
      <c r="AI45"/>
      <c r="AJ45"/>
      <c r="AK45"/>
      <c r="AL45"/>
      <c r="AM45"/>
      <c r="AN45"/>
      <c r="AO45"/>
      <c r="AP45"/>
      <c r="AQ45"/>
      <c r="AR45"/>
      <c r="AS45"/>
      <c r="AT45"/>
    </row>
    <row r="46" spans="2:46" x14ac:dyDescent="0.25">
      <c r="AB46"/>
      <c r="AC46"/>
      <c r="AD46"/>
      <c r="AE46"/>
      <c r="AF46"/>
      <c r="AG46"/>
      <c r="AH46"/>
      <c r="AI46"/>
      <c r="AJ46"/>
      <c r="AK46"/>
      <c r="AL46"/>
      <c r="AM46"/>
      <c r="AN46"/>
      <c r="AO46"/>
      <c r="AP46"/>
      <c r="AQ46"/>
      <c r="AR46"/>
      <c r="AS46"/>
      <c r="AT46"/>
    </row>
    <row r="47" spans="2:46" x14ac:dyDescent="0.25">
      <c r="AB47"/>
      <c r="AC47"/>
      <c r="AD47"/>
      <c r="AE47"/>
      <c r="AF47"/>
      <c r="AG47"/>
      <c r="AH47"/>
      <c r="AI47"/>
      <c r="AJ47"/>
      <c r="AK47"/>
      <c r="AL47"/>
      <c r="AM47"/>
      <c r="AN47"/>
      <c r="AO47"/>
      <c r="AP47"/>
      <c r="AQ47"/>
      <c r="AR47"/>
      <c r="AS47"/>
      <c r="AT47"/>
    </row>
    <row r="48" spans="2:46" x14ac:dyDescent="0.25">
      <c r="AB48"/>
      <c r="AC48"/>
      <c r="AD48"/>
      <c r="AE48"/>
      <c r="AF48"/>
      <c r="AG48"/>
      <c r="AH48"/>
      <c r="AI48"/>
      <c r="AJ48"/>
      <c r="AK48"/>
      <c r="AL48"/>
      <c r="AM48"/>
      <c r="AN48"/>
      <c r="AO48"/>
      <c r="AP48"/>
      <c r="AQ48"/>
      <c r="AR48"/>
      <c r="AS48"/>
      <c r="AT48"/>
    </row>
    <row r="49" spans="28:46" x14ac:dyDescent="0.25">
      <c r="AB49"/>
      <c r="AC49"/>
      <c r="AD49"/>
      <c r="AE49"/>
      <c r="AF49"/>
      <c r="AG49"/>
      <c r="AH49"/>
      <c r="AI49"/>
      <c r="AJ49"/>
      <c r="AK49"/>
      <c r="AL49"/>
      <c r="AM49"/>
      <c r="AN49"/>
      <c r="AO49"/>
      <c r="AP49"/>
      <c r="AQ49"/>
      <c r="AR49"/>
      <c r="AS49"/>
      <c r="AT49"/>
    </row>
    <row r="50" spans="28:46" x14ac:dyDescent="0.25">
      <c r="AB50"/>
      <c r="AC50"/>
      <c r="AD50"/>
      <c r="AE50"/>
      <c r="AF50"/>
      <c r="AG50"/>
      <c r="AH50"/>
      <c r="AI50"/>
      <c r="AJ50"/>
      <c r="AK50"/>
      <c r="AL50"/>
      <c r="AM50"/>
      <c r="AN50"/>
      <c r="AO50"/>
      <c r="AP50"/>
      <c r="AQ50"/>
      <c r="AR50"/>
      <c r="AS50"/>
      <c r="AT50"/>
    </row>
    <row r="51" spans="28:46" x14ac:dyDescent="0.25">
      <c r="AB51"/>
      <c r="AC51"/>
      <c r="AD51"/>
      <c r="AE51"/>
      <c r="AF51"/>
      <c r="AG51"/>
      <c r="AH51"/>
      <c r="AI51"/>
      <c r="AJ51"/>
      <c r="AK51"/>
      <c r="AL51"/>
      <c r="AM51"/>
      <c r="AN51"/>
      <c r="AO51"/>
      <c r="AP51"/>
      <c r="AQ51"/>
      <c r="AR51"/>
      <c r="AS51"/>
      <c r="AT51"/>
    </row>
    <row r="52" spans="28:46" x14ac:dyDescent="0.25">
      <c r="AB52"/>
      <c r="AC52"/>
      <c r="AD52"/>
      <c r="AE52"/>
      <c r="AF52"/>
      <c r="AG52"/>
      <c r="AH52"/>
      <c r="AI52"/>
      <c r="AJ52"/>
      <c r="AK52"/>
      <c r="AL52"/>
      <c r="AM52"/>
      <c r="AN52"/>
      <c r="AO52"/>
      <c r="AP52"/>
      <c r="AQ52"/>
      <c r="AR52"/>
      <c r="AS52"/>
      <c r="AT52"/>
    </row>
    <row r="53" spans="28:46" x14ac:dyDescent="0.25">
      <c r="AB53"/>
      <c r="AC53"/>
      <c r="AD53"/>
      <c r="AE53"/>
      <c r="AF53"/>
      <c r="AG53"/>
      <c r="AH53"/>
      <c r="AI53"/>
      <c r="AJ53"/>
      <c r="AK53"/>
      <c r="AL53"/>
      <c r="AM53"/>
      <c r="AN53"/>
      <c r="AO53"/>
      <c r="AP53"/>
      <c r="AQ53"/>
      <c r="AR53"/>
      <c r="AS53"/>
      <c r="AT53"/>
    </row>
    <row r="54" spans="28:46" x14ac:dyDescent="0.25">
      <c r="AB54"/>
      <c r="AC54"/>
      <c r="AD54"/>
      <c r="AE54"/>
      <c r="AF54"/>
      <c r="AG54"/>
      <c r="AH54"/>
      <c r="AI54"/>
      <c r="AJ54"/>
      <c r="AK54"/>
      <c r="AL54"/>
      <c r="AM54"/>
      <c r="AN54"/>
      <c r="AO54"/>
      <c r="AP54"/>
      <c r="AQ54"/>
      <c r="AR54"/>
      <c r="AS54"/>
      <c r="AT54"/>
    </row>
    <row r="55" spans="28:46" x14ac:dyDescent="0.25">
      <c r="AB55"/>
      <c r="AC55"/>
      <c r="AD55"/>
      <c r="AE55"/>
      <c r="AF55"/>
      <c r="AG55"/>
      <c r="AH55"/>
      <c r="AI55"/>
      <c r="AJ55"/>
      <c r="AK55"/>
      <c r="AL55"/>
      <c r="AM55"/>
      <c r="AN55"/>
      <c r="AO55"/>
      <c r="AP55"/>
      <c r="AQ55"/>
      <c r="AR55"/>
      <c r="AS55"/>
      <c r="AT55"/>
    </row>
    <row r="56" spans="28:46" x14ac:dyDescent="0.25">
      <c r="AB56"/>
      <c r="AC56"/>
      <c r="AD56"/>
      <c r="AE56"/>
      <c r="AF56"/>
      <c r="AG56"/>
      <c r="AH56"/>
      <c r="AI56"/>
      <c r="AJ56"/>
      <c r="AK56"/>
      <c r="AL56"/>
      <c r="AM56"/>
      <c r="AN56"/>
      <c r="AO56"/>
      <c r="AP56"/>
      <c r="AQ56"/>
      <c r="AR56"/>
      <c r="AS56"/>
      <c r="AT56"/>
    </row>
    <row r="57" spans="28:46" x14ac:dyDescent="0.25">
      <c r="AB57"/>
      <c r="AC57"/>
      <c r="AD57"/>
      <c r="AE57"/>
      <c r="AF57"/>
      <c r="AG57"/>
      <c r="AH57"/>
      <c r="AI57"/>
      <c r="AJ57"/>
      <c r="AK57"/>
      <c r="AL57"/>
      <c r="AM57"/>
      <c r="AN57"/>
      <c r="AO57"/>
      <c r="AP57"/>
      <c r="AQ57"/>
      <c r="AR57"/>
      <c r="AS57"/>
      <c r="AT57"/>
    </row>
    <row r="58" spans="28:46" x14ac:dyDescent="0.25">
      <c r="AB58"/>
      <c r="AC58"/>
      <c r="AD58"/>
      <c r="AE58"/>
      <c r="AF58"/>
      <c r="AG58"/>
      <c r="AH58"/>
      <c r="AI58"/>
      <c r="AJ58"/>
      <c r="AK58"/>
      <c r="AL58"/>
      <c r="AM58"/>
      <c r="AN58"/>
      <c r="AO58"/>
      <c r="AP58"/>
      <c r="AQ58"/>
      <c r="AR58"/>
      <c r="AS58"/>
      <c r="AT58"/>
    </row>
    <row r="59" spans="28:46" x14ac:dyDescent="0.25">
      <c r="AB59"/>
      <c r="AC59"/>
      <c r="AD59"/>
      <c r="AE59"/>
      <c r="AF59"/>
      <c r="AG59"/>
      <c r="AH59"/>
      <c r="AI59"/>
      <c r="AJ59"/>
      <c r="AK59"/>
      <c r="AL59"/>
      <c r="AM59"/>
      <c r="AN59"/>
      <c r="AO59"/>
      <c r="AP59"/>
      <c r="AQ59"/>
      <c r="AR59"/>
      <c r="AS59"/>
      <c r="AT59"/>
    </row>
    <row r="60" spans="28:46" x14ac:dyDescent="0.25">
      <c r="AB60"/>
      <c r="AC60"/>
      <c r="AD60"/>
      <c r="AE60"/>
      <c r="AF60"/>
      <c r="AG60"/>
      <c r="AH60"/>
      <c r="AI60"/>
      <c r="AJ60"/>
      <c r="AK60"/>
      <c r="AL60"/>
      <c r="AM60"/>
      <c r="AN60"/>
      <c r="AO60"/>
      <c r="AP60"/>
      <c r="AQ60"/>
      <c r="AR60"/>
      <c r="AS60"/>
      <c r="AT60"/>
    </row>
    <row r="61" spans="28:46" x14ac:dyDescent="0.25">
      <c r="AB61"/>
      <c r="AC61"/>
      <c r="AD61"/>
      <c r="AE61"/>
      <c r="AF61"/>
      <c r="AG61"/>
      <c r="AH61"/>
      <c r="AI61"/>
      <c r="AJ61"/>
      <c r="AK61"/>
      <c r="AL61"/>
      <c r="AM61"/>
      <c r="AN61"/>
      <c r="AO61"/>
      <c r="AP61"/>
      <c r="AQ61"/>
      <c r="AR61"/>
      <c r="AS61"/>
      <c r="AT61"/>
    </row>
  </sheetData>
  <sheetProtection algorithmName="SHA-512" hashValue="hxtZvdOCA+K0Nrnr+SFDVYDz4WoHlgVj8z5rUbGKkPbX5Sw8bxP8Uyd8moN0epYo8t17qNMPU9OmCkG+R7vmmA==" saltValue="S5rCEcxdmiDzSNqqMDtxKA==" spinCount="100000" sheet="1" objects="1" scenarios="1"/>
  <mergeCells count="12">
    <mergeCell ref="AE32:AG32"/>
    <mergeCell ref="AH32:AJ32"/>
    <mergeCell ref="AK32:AM32"/>
    <mergeCell ref="F4:I4"/>
    <mergeCell ref="F22:I22"/>
    <mergeCell ref="F12:I12"/>
    <mergeCell ref="AE1:AG1"/>
    <mergeCell ref="AH1:AJ1"/>
    <mergeCell ref="AK1:AM1"/>
    <mergeCell ref="F2:G2"/>
    <mergeCell ref="H2:I2"/>
    <mergeCell ref="D1:I1"/>
  </mergeCells>
  <conditionalFormatting sqref="F5">
    <cfRule type="dataBar" priority="54">
      <dataBar>
        <cfvo type="num" val="0"/>
        <cfvo type="num" val="5"/>
        <color rgb="FF3156BD"/>
      </dataBar>
      <extLst>
        <ext xmlns:x14="http://schemas.microsoft.com/office/spreadsheetml/2009/9/main" uri="{B025F937-C7B1-47D3-B67F-A62EFF666E3E}">
          <x14:id>{DCAF092A-962D-4367-A0EE-9C6E84CCE8AE}</x14:id>
        </ext>
      </extLst>
    </cfRule>
  </conditionalFormatting>
  <conditionalFormatting sqref="H5">
    <cfRule type="dataBar" priority="52">
      <dataBar>
        <cfvo type="num" val="0"/>
        <cfvo type="num" val="5"/>
        <color rgb="FF00B050"/>
      </dataBar>
      <extLst>
        <ext xmlns:x14="http://schemas.microsoft.com/office/spreadsheetml/2009/9/main" uri="{B025F937-C7B1-47D3-B67F-A62EFF666E3E}">
          <x14:id>{2338CE7B-7641-4A34-B942-C8A15467EA48}</x14:id>
        </ext>
      </extLst>
    </cfRule>
  </conditionalFormatting>
  <conditionalFormatting sqref="H6:H8">
    <cfRule type="dataBar" priority="20">
      <dataBar>
        <cfvo type="num" val="0"/>
        <cfvo type="num" val="5"/>
        <color rgb="FF00B050"/>
      </dataBar>
      <extLst>
        <ext xmlns:x14="http://schemas.microsoft.com/office/spreadsheetml/2009/9/main" uri="{B025F937-C7B1-47D3-B67F-A62EFF666E3E}">
          <x14:id>{9E319336-5598-4F63-9436-31C2F9A8A8B9}</x14:id>
        </ext>
      </extLst>
    </cfRule>
  </conditionalFormatting>
  <conditionalFormatting sqref="H10:H11 H13:H14">
    <cfRule type="dataBar" priority="18">
      <dataBar>
        <cfvo type="num" val="0"/>
        <cfvo type="num" val="5"/>
        <color rgb="FF00B050"/>
      </dataBar>
      <extLst>
        <ext xmlns:x14="http://schemas.microsoft.com/office/spreadsheetml/2009/9/main" uri="{B025F937-C7B1-47D3-B67F-A62EFF666E3E}">
          <x14:id>{A6E39582-5E49-4477-A2A5-6BB84F754018}</x14:id>
        </ext>
      </extLst>
    </cfRule>
  </conditionalFormatting>
  <conditionalFormatting sqref="H16:H21">
    <cfRule type="dataBar" priority="16">
      <dataBar>
        <cfvo type="num" val="0"/>
        <cfvo type="num" val="5"/>
        <color rgb="FF00B050"/>
      </dataBar>
      <extLst>
        <ext xmlns:x14="http://schemas.microsoft.com/office/spreadsheetml/2009/9/main" uri="{B025F937-C7B1-47D3-B67F-A62EFF666E3E}">
          <x14:id>{1EE6F314-E181-4484-94FD-ED463B6BD787}</x14:id>
        </ext>
      </extLst>
    </cfRule>
  </conditionalFormatting>
  <conditionalFormatting sqref="H23:H28">
    <cfRule type="dataBar" priority="14">
      <dataBar>
        <cfvo type="num" val="0"/>
        <cfvo type="num" val="5"/>
        <color rgb="FF00B050"/>
      </dataBar>
      <extLst>
        <ext xmlns:x14="http://schemas.microsoft.com/office/spreadsheetml/2009/9/main" uri="{B025F937-C7B1-47D3-B67F-A62EFF666E3E}">
          <x14:id>{A2B2DD3E-F1CA-42F4-81A8-111E7C38E884}</x14:id>
        </ext>
      </extLst>
    </cfRule>
  </conditionalFormatting>
  <conditionalFormatting sqref="F6:F8">
    <cfRule type="dataBar" priority="9">
      <dataBar>
        <cfvo type="num" val="0"/>
        <cfvo type="num" val="5"/>
        <color rgb="FF3156BD"/>
      </dataBar>
      <extLst>
        <ext xmlns:x14="http://schemas.microsoft.com/office/spreadsheetml/2009/9/main" uri="{B025F937-C7B1-47D3-B67F-A62EFF666E3E}">
          <x14:id>{77C75A0F-6C4B-49F9-893E-A3A9782E4202}</x14:id>
        </ext>
      </extLst>
    </cfRule>
  </conditionalFormatting>
  <conditionalFormatting sqref="F10:F11 F13:F14">
    <cfRule type="dataBar" priority="8">
      <dataBar>
        <cfvo type="num" val="0"/>
        <cfvo type="num" val="5"/>
        <color rgb="FF3156BD"/>
      </dataBar>
      <extLst>
        <ext xmlns:x14="http://schemas.microsoft.com/office/spreadsheetml/2009/9/main" uri="{B025F937-C7B1-47D3-B67F-A62EFF666E3E}">
          <x14:id>{EC4A5AF6-C497-417B-A864-80F2436B9B51}</x14:id>
        </ext>
      </extLst>
    </cfRule>
  </conditionalFormatting>
  <conditionalFormatting sqref="F15">
    <cfRule type="dataBar" priority="1">
      <dataBar>
        <cfvo type="num" val="0"/>
        <cfvo type="num" val="5"/>
        <color rgb="FF3156BD"/>
      </dataBar>
      <extLst>
        <ext xmlns:x14="http://schemas.microsoft.com/office/spreadsheetml/2009/9/main" uri="{B025F937-C7B1-47D3-B67F-A62EFF666E3E}">
          <x14:id>{1DB42617-B7D2-415A-AC52-FAA0F1958EE3}</x14:id>
        </ext>
      </extLst>
    </cfRule>
  </conditionalFormatting>
  <conditionalFormatting sqref="F16:F21">
    <cfRule type="dataBar" priority="7">
      <dataBar>
        <cfvo type="num" val="0"/>
        <cfvo type="num" val="5"/>
        <color rgb="FF3156BD"/>
      </dataBar>
      <extLst>
        <ext xmlns:x14="http://schemas.microsoft.com/office/spreadsheetml/2009/9/main" uri="{B025F937-C7B1-47D3-B67F-A62EFF666E3E}">
          <x14:id>{03EFA48D-E315-4E94-B94C-5D39ED9F9518}</x14:id>
        </ext>
      </extLst>
    </cfRule>
  </conditionalFormatting>
  <conditionalFormatting sqref="F23:F28">
    <cfRule type="dataBar" priority="6">
      <dataBar>
        <cfvo type="num" val="0"/>
        <cfvo type="num" val="5"/>
        <color rgb="FF3156BD"/>
      </dataBar>
      <extLst>
        <ext xmlns:x14="http://schemas.microsoft.com/office/spreadsheetml/2009/9/main" uri="{B025F937-C7B1-47D3-B67F-A62EFF666E3E}">
          <x14:id>{716C5170-F01B-4A6A-B370-2798EF17A82B}</x14:id>
        </ext>
      </extLst>
    </cfRule>
  </conditionalFormatting>
  <conditionalFormatting sqref="H9">
    <cfRule type="dataBar" priority="4">
      <dataBar>
        <cfvo type="num" val="0"/>
        <cfvo type="num" val="5"/>
        <color rgb="FF00B050"/>
      </dataBar>
      <extLst>
        <ext xmlns:x14="http://schemas.microsoft.com/office/spreadsheetml/2009/9/main" uri="{B025F937-C7B1-47D3-B67F-A62EFF666E3E}">
          <x14:id>{3457411B-63E5-42F5-B6BC-AFA4A8A57C27}</x14:id>
        </ext>
      </extLst>
    </cfRule>
  </conditionalFormatting>
  <conditionalFormatting sqref="F9">
    <cfRule type="dataBar" priority="3">
      <dataBar>
        <cfvo type="num" val="0"/>
        <cfvo type="num" val="5"/>
        <color rgb="FF3156BD"/>
      </dataBar>
      <extLst>
        <ext xmlns:x14="http://schemas.microsoft.com/office/spreadsheetml/2009/9/main" uri="{B025F937-C7B1-47D3-B67F-A62EFF666E3E}">
          <x14:id>{6EAFF069-C019-4377-BBFB-7EC12476F371}</x14:id>
        </ext>
      </extLst>
    </cfRule>
  </conditionalFormatting>
  <conditionalFormatting sqref="H15">
    <cfRule type="dataBar" priority="2">
      <dataBar>
        <cfvo type="num" val="0"/>
        <cfvo type="num" val="5"/>
        <color rgb="FF00B050"/>
      </dataBar>
      <extLst>
        <ext xmlns:x14="http://schemas.microsoft.com/office/spreadsheetml/2009/9/main" uri="{B025F937-C7B1-47D3-B67F-A62EFF666E3E}">
          <x14:id>{79D95300-E371-4C15-BA0C-4BD35C7B621A}</x14:id>
        </ext>
      </extLst>
    </cfRule>
  </conditionalFormatting>
  <dataValidations count="1">
    <dataValidation type="decimal" allowBlank="1" showInputMessage="1" showErrorMessage="1" errorTitle="Invalid entry" error="Benchmark rating must be a decimal number or integer less than or equal to 5" sqref="J23:J28 J5:J11 J13:J21" xr:uid="{00000000-0002-0000-0700-000000000000}">
      <formula1>0</formula1>
      <formula2>5</formula2>
    </dataValidation>
  </dataValidations>
  <pageMargins left="0.7" right="0.7" top="0.75" bottom="0.75" header="0.3" footer="0.3"/>
  <pageSetup paperSize="9" scale="58"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DCAF092A-962D-4367-A0EE-9C6E84CCE8AE}">
            <x14:dataBar minLength="0" maxLength="100" gradient="0">
              <x14:cfvo type="num">
                <xm:f>0</xm:f>
              </x14:cfvo>
              <x14:cfvo type="num">
                <xm:f>5</xm:f>
              </x14:cfvo>
              <x14:negativeFillColor rgb="FFFF0000"/>
              <x14:axisColor rgb="FF000000"/>
            </x14:dataBar>
          </x14:cfRule>
          <xm:sqref>F5</xm:sqref>
        </x14:conditionalFormatting>
        <x14:conditionalFormatting xmlns:xm="http://schemas.microsoft.com/office/excel/2006/main">
          <x14:cfRule type="dataBar" id="{2338CE7B-7641-4A34-B942-C8A15467EA48}">
            <x14:dataBar minLength="0" maxLength="100" gradient="0">
              <x14:cfvo type="num">
                <xm:f>0</xm:f>
              </x14:cfvo>
              <x14:cfvo type="num">
                <xm:f>5</xm:f>
              </x14:cfvo>
              <x14:negativeFillColor rgb="FFFF0000"/>
              <x14:axisColor rgb="FF000000"/>
            </x14:dataBar>
          </x14:cfRule>
          <xm:sqref>H5</xm:sqref>
        </x14:conditionalFormatting>
        <x14:conditionalFormatting xmlns:xm="http://schemas.microsoft.com/office/excel/2006/main">
          <x14:cfRule type="dataBar" id="{9E319336-5598-4F63-9436-31C2F9A8A8B9}">
            <x14:dataBar minLength="0" maxLength="100" gradient="0">
              <x14:cfvo type="num">
                <xm:f>0</xm:f>
              </x14:cfvo>
              <x14:cfvo type="num">
                <xm:f>5</xm:f>
              </x14:cfvo>
              <x14:negativeFillColor rgb="FFFF0000"/>
              <x14:axisColor rgb="FF000000"/>
            </x14:dataBar>
          </x14:cfRule>
          <xm:sqref>H6:H8</xm:sqref>
        </x14:conditionalFormatting>
        <x14:conditionalFormatting xmlns:xm="http://schemas.microsoft.com/office/excel/2006/main">
          <x14:cfRule type="dataBar" id="{A6E39582-5E49-4477-A2A5-6BB84F754018}">
            <x14:dataBar minLength="0" maxLength="100" gradient="0">
              <x14:cfvo type="num">
                <xm:f>0</xm:f>
              </x14:cfvo>
              <x14:cfvo type="num">
                <xm:f>5</xm:f>
              </x14:cfvo>
              <x14:negativeFillColor rgb="FFFF0000"/>
              <x14:axisColor rgb="FF000000"/>
            </x14:dataBar>
          </x14:cfRule>
          <xm:sqref>H10:H11 H13:H14</xm:sqref>
        </x14:conditionalFormatting>
        <x14:conditionalFormatting xmlns:xm="http://schemas.microsoft.com/office/excel/2006/main">
          <x14:cfRule type="dataBar" id="{1EE6F314-E181-4484-94FD-ED463B6BD787}">
            <x14:dataBar minLength="0" maxLength="100" gradient="0">
              <x14:cfvo type="num">
                <xm:f>0</xm:f>
              </x14:cfvo>
              <x14:cfvo type="num">
                <xm:f>5</xm:f>
              </x14:cfvo>
              <x14:negativeFillColor rgb="FFFF0000"/>
              <x14:axisColor rgb="FF000000"/>
            </x14:dataBar>
          </x14:cfRule>
          <xm:sqref>H16:H21</xm:sqref>
        </x14:conditionalFormatting>
        <x14:conditionalFormatting xmlns:xm="http://schemas.microsoft.com/office/excel/2006/main">
          <x14:cfRule type="dataBar" id="{A2B2DD3E-F1CA-42F4-81A8-111E7C38E884}">
            <x14:dataBar minLength="0" maxLength="100" gradient="0">
              <x14:cfvo type="num">
                <xm:f>0</xm:f>
              </x14:cfvo>
              <x14:cfvo type="num">
                <xm:f>5</xm:f>
              </x14:cfvo>
              <x14:negativeFillColor rgb="FFFF0000"/>
              <x14:axisColor rgb="FF000000"/>
            </x14:dataBar>
          </x14:cfRule>
          <xm:sqref>H23:H28</xm:sqref>
        </x14:conditionalFormatting>
        <x14:conditionalFormatting xmlns:xm="http://schemas.microsoft.com/office/excel/2006/main">
          <x14:cfRule type="dataBar" id="{77C75A0F-6C4B-49F9-893E-A3A9782E4202}">
            <x14:dataBar minLength="0" maxLength="100" gradient="0">
              <x14:cfvo type="num">
                <xm:f>0</xm:f>
              </x14:cfvo>
              <x14:cfvo type="num">
                <xm:f>5</xm:f>
              </x14:cfvo>
              <x14:negativeFillColor rgb="FFFF0000"/>
              <x14:axisColor rgb="FF000000"/>
            </x14:dataBar>
          </x14:cfRule>
          <xm:sqref>F6:F8</xm:sqref>
        </x14:conditionalFormatting>
        <x14:conditionalFormatting xmlns:xm="http://schemas.microsoft.com/office/excel/2006/main">
          <x14:cfRule type="dataBar" id="{EC4A5AF6-C497-417B-A864-80F2436B9B51}">
            <x14:dataBar minLength="0" maxLength="100" gradient="0">
              <x14:cfvo type="num">
                <xm:f>0</xm:f>
              </x14:cfvo>
              <x14:cfvo type="num">
                <xm:f>5</xm:f>
              </x14:cfvo>
              <x14:negativeFillColor rgb="FFFF0000"/>
              <x14:axisColor rgb="FF000000"/>
            </x14:dataBar>
          </x14:cfRule>
          <xm:sqref>F10:F11 F13:F14</xm:sqref>
        </x14:conditionalFormatting>
        <x14:conditionalFormatting xmlns:xm="http://schemas.microsoft.com/office/excel/2006/main">
          <x14:cfRule type="dataBar" id="{1DB42617-B7D2-415A-AC52-FAA0F1958EE3}">
            <x14:dataBar minLength="0" maxLength="100" gradient="0">
              <x14:cfvo type="num">
                <xm:f>0</xm:f>
              </x14:cfvo>
              <x14:cfvo type="num">
                <xm:f>5</xm:f>
              </x14:cfvo>
              <x14:negativeFillColor rgb="FFFF0000"/>
              <x14:axisColor rgb="FF000000"/>
            </x14:dataBar>
          </x14:cfRule>
          <xm:sqref>F15</xm:sqref>
        </x14:conditionalFormatting>
        <x14:conditionalFormatting xmlns:xm="http://schemas.microsoft.com/office/excel/2006/main">
          <x14:cfRule type="dataBar" id="{03EFA48D-E315-4E94-B94C-5D39ED9F9518}">
            <x14:dataBar minLength="0" maxLength="100" gradient="0">
              <x14:cfvo type="num">
                <xm:f>0</xm:f>
              </x14:cfvo>
              <x14:cfvo type="num">
                <xm:f>5</xm:f>
              </x14:cfvo>
              <x14:negativeFillColor rgb="FFFF0000"/>
              <x14:axisColor rgb="FF000000"/>
            </x14:dataBar>
          </x14:cfRule>
          <xm:sqref>F16:F21</xm:sqref>
        </x14:conditionalFormatting>
        <x14:conditionalFormatting xmlns:xm="http://schemas.microsoft.com/office/excel/2006/main">
          <x14:cfRule type="dataBar" id="{716C5170-F01B-4A6A-B370-2798EF17A82B}">
            <x14:dataBar minLength="0" maxLength="100" gradient="0">
              <x14:cfvo type="num">
                <xm:f>0</xm:f>
              </x14:cfvo>
              <x14:cfvo type="num">
                <xm:f>5</xm:f>
              </x14:cfvo>
              <x14:negativeFillColor rgb="FFFF0000"/>
              <x14:axisColor rgb="FF000000"/>
            </x14:dataBar>
          </x14:cfRule>
          <xm:sqref>F23:F28</xm:sqref>
        </x14:conditionalFormatting>
        <x14:conditionalFormatting xmlns:xm="http://schemas.microsoft.com/office/excel/2006/main">
          <x14:cfRule type="dataBar" id="{3457411B-63E5-42F5-B6BC-AFA4A8A57C27}">
            <x14:dataBar minLength="0" maxLength="100" gradient="0">
              <x14:cfvo type="num">
                <xm:f>0</xm:f>
              </x14:cfvo>
              <x14:cfvo type="num">
                <xm:f>5</xm:f>
              </x14:cfvo>
              <x14:negativeFillColor rgb="FFFF0000"/>
              <x14:axisColor rgb="FF000000"/>
            </x14:dataBar>
          </x14:cfRule>
          <xm:sqref>H9</xm:sqref>
        </x14:conditionalFormatting>
        <x14:conditionalFormatting xmlns:xm="http://schemas.microsoft.com/office/excel/2006/main">
          <x14:cfRule type="dataBar" id="{6EAFF069-C019-4377-BBFB-7EC12476F371}">
            <x14:dataBar minLength="0" maxLength="100" gradient="0">
              <x14:cfvo type="num">
                <xm:f>0</xm:f>
              </x14:cfvo>
              <x14:cfvo type="num">
                <xm:f>5</xm:f>
              </x14:cfvo>
              <x14:negativeFillColor rgb="FFFF0000"/>
              <x14:axisColor rgb="FF000000"/>
            </x14:dataBar>
          </x14:cfRule>
          <xm:sqref>F9</xm:sqref>
        </x14:conditionalFormatting>
        <x14:conditionalFormatting xmlns:xm="http://schemas.microsoft.com/office/excel/2006/main">
          <x14:cfRule type="dataBar" id="{79D95300-E371-4C15-BA0C-4BD35C7B621A}">
            <x14:dataBar minLength="0" maxLength="100" gradient="0">
              <x14:cfvo type="num">
                <xm:f>0</xm:f>
              </x14:cfvo>
              <x14:cfvo type="num">
                <xm:f>5</xm:f>
              </x14:cfvo>
              <x14:negativeFillColor rgb="FFFF0000"/>
              <x14:axisColor rgb="FF000000"/>
            </x14:dataBar>
          </x14:cfRule>
          <xm:sqref>H15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pageSetUpPr autoPageBreaks="0" fitToPage="1"/>
  </sheetPr>
  <dimension ref="A2:AI28"/>
  <sheetViews>
    <sheetView showGridLines="0" showRowColHeaders="0" zoomScaleNormal="100" workbookViewId="0">
      <pane ySplit="7" topLeftCell="A8" activePane="bottomLeft" state="frozen"/>
      <selection pane="bottomLeft" sqref="A1:D5041"/>
    </sheetView>
  </sheetViews>
  <sheetFormatPr defaultColWidth="9.140625" defaultRowHeight="15" x14ac:dyDescent="0.25"/>
  <cols>
    <col min="1" max="1" width="9.28515625" style="21" hidden="1" customWidth="1"/>
    <col min="2" max="3" width="8.85546875" style="21" hidden="1" customWidth="1"/>
    <col min="4" max="4" width="6.28515625" style="135" customWidth="1"/>
    <col min="5" max="5" width="15.5703125" style="21" customWidth="1"/>
    <col min="6" max="6" width="67.42578125" style="21" customWidth="1"/>
    <col min="7" max="7" width="29.7109375" style="135" customWidth="1"/>
    <col min="8" max="8" width="7.7109375" style="135" hidden="1" customWidth="1"/>
    <col min="9" max="9" width="9.7109375" style="135" hidden="1" customWidth="1"/>
    <col min="10" max="13" width="7.7109375" style="135" hidden="1" customWidth="1"/>
    <col min="14" max="14" width="13.140625" style="21" hidden="1" customWidth="1"/>
    <col min="15" max="15" width="13.140625" style="21" customWidth="1"/>
    <col min="16" max="16" width="28.42578125" style="21" customWidth="1"/>
    <col min="17" max="17" width="41.7109375" style="21" customWidth="1"/>
    <col min="18" max="26" width="9.140625" style="21" customWidth="1"/>
    <col min="27" max="27" width="9.140625" style="21" hidden="1" customWidth="1"/>
    <col min="28" max="33" width="9.140625" style="21" customWidth="1"/>
    <col min="34" max="34" width="9.140625" style="78" hidden="1" customWidth="1"/>
    <col min="35" max="35" width="9.140625" customWidth="1"/>
    <col min="36" max="39" width="9.140625" style="21" customWidth="1"/>
    <col min="40" max="16384" width="9.140625" style="21"/>
  </cols>
  <sheetData>
    <row r="2" spans="1:35" s="53" customFormat="1" ht="15" customHeight="1" x14ac:dyDescent="0.25">
      <c r="A2" s="50"/>
      <c r="B2" s="21"/>
      <c r="C2" s="21"/>
      <c r="D2" s="135"/>
      <c r="E2" s="21"/>
      <c r="F2" s="313" t="str">
        <f ca="1">"Maturity model for Stage "&amp;LEFT(B8,1)&amp;" - "&amp;VLOOKUP(A8-1,Contents_Text,7,FALSE)</f>
        <v>Maturity model for Stage A - Preparation</v>
      </c>
      <c r="G2" s="136"/>
      <c r="H2" s="136"/>
      <c r="I2" s="136"/>
      <c r="J2" s="136"/>
      <c r="K2" s="136"/>
      <c r="L2" s="136"/>
      <c r="M2" s="136"/>
      <c r="N2" s="126"/>
      <c r="O2" s="126"/>
      <c r="P2" s="126"/>
      <c r="Q2" s="126"/>
      <c r="R2" s="126"/>
      <c r="S2" s="126"/>
      <c r="T2" s="126"/>
      <c r="U2" s="126"/>
      <c r="V2" s="126"/>
      <c r="W2" s="126"/>
      <c r="X2" s="126"/>
      <c r="Y2" s="126"/>
      <c r="Z2" s="126"/>
      <c r="AA2" s="126"/>
      <c r="AB2" s="126"/>
      <c r="AC2" s="151"/>
      <c r="AD2" s="151"/>
      <c r="AE2" s="151"/>
      <c r="AF2" s="151"/>
      <c r="AG2" s="151"/>
      <c r="AH2" s="78"/>
      <c r="AI2"/>
    </row>
    <row r="3" spans="1:35" s="53" customFormat="1" ht="15" customHeight="1" x14ac:dyDescent="0.25">
      <c r="A3" s="21"/>
      <c r="B3" s="21"/>
      <c r="C3" s="21"/>
      <c r="D3" s="135"/>
      <c r="E3" s="21"/>
      <c r="F3" s="313"/>
      <c r="G3" s="136"/>
      <c r="H3" s="136"/>
      <c r="I3" s="136"/>
      <c r="J3" s="136"/>
      <c r="K3" s="136"/>
      <c r="L3" s="136"/>
      <c r="M3" s="136"/>
      <c r="N3" s="126"/>
      <c r="O3" s="126"/>
      <c r="P3" s="126"/>
      <c r="Q3" s="126"/>
      <c r="R3" s="126"/>
      <c r="S3" s="126"/>
      <c r="T3" s="126"/>
      <c r="U3" s="126"/>
      <c r="V3" s="126"/>
      <c r="W3" s="126"/>
      <c r="X3" s="126"/>
      <c r="Y3" s="126"/>
      <c r="Z3" s="126"/>
      <c r="AA3" s="126"/>
      <c r="AB3" s="126"/>
      <c r="AC3" s="151"/>
      <c r="AD3" s="151"/>
      <c r="AE3" s="151"/>
      <c r="AF3" s="151"/>
      <c r="AG3" s="151"/>
      <c r="AH3" s="78"/>
      <c r="AI3"/>
    </row>
    <row r="4" spans="1:35" s="53" customFormat="1" ht="15" customHeight="1" x14ac:dyDescent="0.25">
      <c r="A4" s="21"/>
      <c r="B4" s="21"/>
      <c r="C4" s="21"/>
      <c r="D4" s="135"/>
      <c r="E4" s="21"/>
      <c r="F4" s="313"/>
      <c r="G4" s="136"/>
      <c r="H4" s="136"/>
      <c r="I4" s="136"/>
      <c r="J4" s="136"/>
      <c r="K4" s="136"/>
      <c r="L4" s="136"/>
      <c r="M4" s="136"/>
      <c r="N4" s="126"/>
      <c r="O4" s="126"/>
      <c r="P4" s="126"/>
      <c r="Q4" s="126"/>
      <c r="R4" s="126"/>
      <c r="S4" s="126"/>
      <c r="T4" s="126"/>
      <c r="U4" s="126"/>
      <c r="V4" s="126"/>
      <c r="W4" s="126"/>
      <c r="X4" s="126"/>
      <c r="Y4" s="126"/>
      <c r="Z4" s="126"/>
      <c r="AA4" s="126"/>
      <c r="AB4" s="126"/>
      <c r="AC4" s="151"/>
      <c r="AD4" s="151"/>
      <c r="AE4" s="151"/>
      <c r="AF4" s="151"/>
      <c r="AG4" s="151"/>
      <c r="AH4" s="78"/>
      <c r="AI4"/>
    </row>
    <row r="5" spans="1:35" s="53" customFormat="1" ht="15" customHeight="1" x14ac:dyDescent="0.25">
      <c r="A5" s="21"/>
      <c r="B5" s="21"/>
      <c r="C5" s="21"/>
      <c r="D5" s="135"/>
      <c r="E5" s="21"/>
      <c r="F5" s="313"/>
      <c r="G5" s="136"/>
      <c r="H5" s="136"/>
      <c r="I5" s="136"/>
      <c r="J5" s="136"/>
      <c r="K5" s="136"/>
      <c r="L5" s="136"/>
      <c r="M5" s="136"/>
      <c r="N5" s="126"/>
      <c r="O5" s="126"/>
      <c r="P5" s="126"/>
      <c r="Q5" s="126"/>
      <c r="R5" s="126"/>
      <c r="S5" s="126"/>
      <c r="T5" s="126"/>
      <c r="U5" s="126"/>
      <c r="V5" s="126"/>
      <c r="W5" s="126"/>
      <c r="X5" s="126"/>
      <c r="Y5" s="126"/>
      <c r="Z5" s="126"/>
      <c r="AA5" s="126"/>
      <c r="AB5" s="126"/>
      <c r="AC5" s="151"/>
      <c r="AD5" s="151"/>
      <c r="AE5" s="151"/>
      <c r="AF5" s="151"/>
      <c r="AG5" s="151"/>
      <c r="AH5" s="78"/>
      <c r="AI5"/>
    </row>
    <row r="6" spans="1:35" ht="11.25" customHeight="1" x14ac:dyDescent="0.25"/>
    <row r="7" spans="1:35" ht="36" customHeight="1" thickBot="1" x14ac:dyDescent="0.35">
      <c r="F7" s="54"/>
      <c r="G7" s="180" t="s">
        <v>47</v>
      </c>
      <c r="H7" s="180"/>
      <c r="I7" s="180"/>
      <c r="J7" s="180"/>
      <c r="K7" s="180"/>
      <c r="L7" s="180"/>
      <c r="M7" s="180"/>
      <c r="N7" s="55" t="s">
        <v>8</v>
      </c>
      <c r="O7" s="56" t="s">
        <v>194</v>
      </c>
      <c r="P7" s="57" t="s">
        <v>48</v>
      </c>
      <c r="Q7" s="57" t="s">
        <v>0</v>
      </c>
      <c r="AH7" s="204" t="s">
        <v>132</v>
      </c>
    </row>
    <row r="8" spans="1:35" s="74" customFormat="1" ht="30" customHeight="1" x14ac:dyDescent="0.25">
      <c r="A8" s="72">
        <v>2</v>
      </c>
      <c r="B8" s="73" t="str">
        <f t="shared" ref="B8:B28" si="0">VLOOKUP(A8,contentrefmockup,2,FALSE)</f>
        <v>A.1</v>
      </c>
      <c r="C8" s="20">
        <f t="shared" ref="C8:C28" si="1">VLOOKUP(A8,contentrefmockup,15,FALSE)</f>
        <v>2</v>
      </c>
      <c r="D8" s="20"/>
      <c r="E8" s="142" t="str">
        <f t="shared" ref="E8:E28" si="2">IF(C8=1,"Phase "&amp;B8,IF(C8=2,"Step "&amp;VLOOKUP(A8,contentrefmockup,4,FALSE),B8))</f>
        <v>Step 1</v>
      </c>
      <c r="F8" s="143" t="str">
        <f t="shared" ref="F8:F28" si="3">VLOOKUP(A8,contentrefmockup,7,FALSE)</f>
        <v>Maintain a technical security assurance framework</v>
      </c>
      <c r="G8" s="143"/>
      <c r="H8" s="143"/>
      <c r="I8" s="143"/>
      <c r="J8" s="143"/>
      <c r="K8" s="143"/>
      <c r="L8" s="143"/>
      <c r="M8" s="143"/>
      <c r="N8" s="143" t="str">
        <f t="shared" ref="N8:N28" ca="1" si="4">IFERROR(IF(VLOOKUP(A8,Weightings_Assessments,25,FALSE)=0,"",VLOOKUP(A8,Weightings_Assessments,25,FALSE)),"")</f>
        <v/>
      </c>
      <c r="O8" s="143" t="str">
        <f t="shared" ref="O8:O28" ca="1" si="5">IFERROR(VLOOKUP(AH8,detail_maturity_score,3,FALSE)*VLOOKUP(A8,Weightings_Assessments,23,FALSE),"")</f>
        <v/>
      </c>
      <c r="P8" s="143"/>
      <c r="Q8" s="143"/>
      <c r="R8" s="143"/>
      <c r="S8" s="143"/>
      <c r="T8" s="143"/>
      <c r="U8" s="143"/>
      <c r="V8" s="143"/>
      <c r="W8" s="143"/>
      <c r="X8" s="143"/>
      <c r="Y8" s="143"/>
      <c r="Z8" s="143"/>
      <c r="AA8" s="143"/>
      <c r="AB8" s="143"/>
      <c r="AC8" s="143"/>
      <c r="AD8" s="143"/>
      <c r="AE8" s="143"/>
      <c r="AF8" s="143"/>
      <c r="AG8" s="143"/>
      <c r="AH8" s="77"/>
      <c r="AI8"/>
    </row>
    <row r="9" spans="1:35" s="74" customFormat="1" ht="45" x14ac:dyDescent="0.25">
      <c r="A9" s="203">
        <v>3</v>
      </c>
      <c r="B9" s="73" t="str">
        <f t="shared" si="0"/>
        <v>A.1.01</v>
      </c>
      <c r="C9" s="20">
        <f t="shared" si="1"/>
        <v>5</v>
      </c>
      <c r="D9" s="20"/>
      <c r="E9" s="119" t="str">
        <f t="shared" si="2"/>
        <v>A.1.01</v>
      </c>
      <c r="F9" s="140" t="str">
        <f t="shared" si="3"/>
        <v>Do you maintain an approved technical security assurance framework, which is focused on protecting your most critical information and systems?</v>
      </c>
      <c r="G9" s="118"/>
      <c r="H9" s="139"/>
      <c r="I9" s="141"/>
      <c r="J9" s="139"/>
      <c r="K9" s="139"/>
      <c r="L9" s="139"/>
      <c r="M9" s="139"/>
      <c r="N9" s="121" t="str">
        <f t="shared" ca="1" si="4"/>
        <v>x 1</v>
      </c>
      <c r="O9" s="121" t="str">
        <f t="shared" ca="1" si="5"/>
        <v/>
      </c>
      <c r="P9" s="122"/>
      <c r="Q9" s="122"/>
      <c r="R9" s="118"/>
      <c r="S9" s="118"/>
      <c r="T9" s="118"/>
      <c r="U9" s="118"/>
      <c r="V9" s="118"/>
      <c r="W9" s="118"/>
      <c r="X9" s="118"/>
      <c r="Y9" s="118"/>
      <c r="Z9" s="123"/>
      <c r="AA9" s="118">
        <v>1</v>
      </c>
      <c r="AB9" s="118"/>
      <c r="AC9" s="118"/>
      <c r="AD9" s="118"/>
      <c r="AE9" s="118"/>
      <c r="AF9" s="118"/>
      <c r="AG9" s="118"/>
      <c r="AH9" s="77">
        <v>1</v>
      </c>
      <c r="AI9" s="13"/>
    </row>
    <row r="10" spans="1:35" s="74" customFormat="1" ht="120" x14ac:dyDescent="0.25">
      <c r="A10" s="203">
        <v>4</v>
      </c>
      <c r="B10" s="73" t="str">
        <f t="shared" si="0"/>
        <v/>
      </c>
      <c r="C10" s="20">
        <f t="shared" si="1"/>
        <v>3</v>
      </c>
      <c r="D10" s="20"/>
      <c r="E10" s="119" t="str">
        <f t="shared" si="2"/>
        <v/>
      </c>
      <c r="F10" s="138" t="str">
        <f t="shared" si="3"/>
        <v>A technical security assurance framework would typically include multiple environments for testing, a security architecture, an ongoing security monitoring services (e.g. in a SOC), an adequate range of technical security services and a balanced selection of preventative, detective and reactive security controls; supported by sufficient budget, skilled resources, processes, tools and technologies, adequate management support and an IT or Cyber security risk management programme.</v>
      </c>
      <c r="G10" s="138"/>
      <c r="H10" s="138"/>
      <c r="I10" s="138"/>
      <c r="J10" s="138"/>
      <c r="K10" s="138"/>
      <c r="L10" s="138"/>
      <c r="M10" s="138"/>
      <c r="N10" s="121" t="str">
        <f t="shared" ca="1" si="4"/>
        <v/>
      </c>
      <c r="O10" s="118" t="str">
        <f t="shared" ca="1" si="5"/>
        <v/>
      </c>
      <c r="P10" s="122"/>
      <c r="Q10" s="122"/>
      <c r="R10" s="118"/>
      <c r="S10" s="118"/>
      <c r="T10" s="118"/>
      <c r="U10" s="118"/>
      <c r="V10" s="118"/>
      <c r="W10" s="118"/>
      <c r="X10" s="118"/>
      <c r="Y10" s="118"/>
      <c r="Z10" s="123"/>
      <c r="AA10" s="118"/>
      <c r="AB10" s="118"/>
      <c r="AC10" s="118"/>
      <c r="AD10" s="118"/>
      <c r="AE10" s="118"/>
      <c r="AF10" s="118"/>
      <c r="AG10" s="118"/>
      <c r="AH10" s="202"/>
      <c r="AI10" s="13"/>
    </row>
    <row r="11" spans="1:35" s="74" customFormat="1" ht="30" customHeight="1" x14ac:dyDescent="0.25">
      <c r="A11" s="72">
        <v>5</v>
      </c>
      <c r="B11" s="73" t="str">
        <f t="shared" si="0"/>
        <v>A.2</v>
      </c>
      <c r="C11" s="20">
        <f t="shared" si="1"/>
        <v>2</v>
      </c>
      <c r="D11" s="20"/>
      <c r="E11" s="142" t="str">
        <f t="shared" si="2"/>
        <v>Step 2</v>
      </c>
      <c r="F11" s="143" t="str">
        <f t="shared" si="3"/>
        <v>Establish a penetration testing governance structure</v>
      </c>
      <c r="G11" s="143"/>
      <c r="H11" s="143"/>
      <c r="I11" s="143"/>
      <c r="J11" s="143"/>
      <c r="K11" s="143"/>
      <c r="L11" s="143"/>
      <c r="M11" s="143"/>
      <c r="N11" s="143" t="str">
        <f t="shared" ca="1" si="4"/>
        <v/>
      </c>
      <c r="O11" s="143" t="str">
        <f t="shared" ca="1" si="5"/>
        <v/>
      </c>
      <c r="P11" s="143"/>
      <c r="Q11" s="143"/>
      <c r="R11" s="143"/>
      <c r="S11" s="143"/>
      <c r="T11" s="143"/>
      <c r="U11" s="143"/>
      <c r="V11" s="143"/>
      <c r="W11" s="143"/>
      <c r="X11" s="143"/>
      <c r="Y11" s="143"/>
      <c r="Z11" s="143"/>
      <c r="AA11" s="143"/>
      <c r="AB11" s="143"/>
      <c r="AC11" s="143"/>
      <c r="AD11" s="143"/>
      <c r="AE11" s="143"/>
      <c r="AF11" s="143"/>
      <c r="AG11" s="143"/>
      <c r="AH11" s="77"/>
      <c r="AI11" s="13"/>
    </row>
    <row r="12" spans="1:35" s="74" customFormat="1" ht="30" x14ac:dyDescent="0.25">
      <c r="A12" s="203">
        <v>6</v>
      </c>
      <c r="B12" s="73" t="str">
        <f t="shared" si="0"/>
        <v>A.2.01</v>
      </c>
      <c r="C12" s="20">
        <f t="shared" si="1"/>
        <v>5</v>
      </c>
      <c r="D12" s="20"/>
      <c r="E12" s="119" t="str">
        <f t="shared" si="2"/>
        <v>A.2.01</v>
      </c>
      <c r="F12" s="140" t="str">
        <f t="shared" si="3"/>
        <v>Have you established a suitable governance structure to oversee and coordinate a regular penetration testing programme?</v>
      </c>
      <c r="G12" s="118"/>
      <c r="H12" s="139"/>
      <c r="I12" s="141"/>
      <c r="J12" s="139"/>
      <c r="K12" s="139"/>
      <c r="L12" s="139"/>
      <c r="M12" s="139"/>
      <c r="N12" s="121" t="str">
        <f t="shared" ca="1" si="4"/>
        <v>x 1</v>
      </c>
      <c r="O12" s="121" t="str">
        <f t="shared" ca="1" si="5"/>
        <v/>
      </c>
      <c r="P12" s="122"/>
      <c r="Q12" s="122"/>
      <c r="R12" s="118"/>
      <c r="S12" s="118"/>
      <c r="T12" s="118"/>
      <c r="U12" s="118"/>
      <c r="V12" s="118"/>
      <c r="W12" s="118"/>
      <c r="X12" s="118"/>
      <c r="Y12" s="118"/>
      <c r="Z12" s="123"/>
      <c r="AA12" s="118">
        <v>1</v>
      </c>
      <c r="AB12" s="118"/>
      <c r="AC12" s="118"/>
      <c r="AD12" s="118"/>
      <c r="AE12" s="118"/>
      <c r="AF12" s="118"/>
      <c r="AG12" s="118"/>
      <c r="AH12" s="77">
        <v>1</v>
      </c>
      <c r="AI12" s="13"/>
    </row>
    <row r="13" spans="1:35" s="74" customFormat="1" ht="135" x14ac:dyDescent="0.25">
      <c r="A13" s="203">
        <v>7</v>
      </c>
      <c r="B13" s="73" t="str">
        <f t="shared" si="0"/>
        <v/>
      </c>
      <c r="C13" s="20">
        <f t="shared" si="1"/>
        <v>3</v>
      </c>
      <c r="D13" s="20"/>
      <c r="E13" s="119" t="str">
        <f t="shared" si="2"/>
        <v/>
      </c>
      <c r="F13" s="138" t="str">
        <f t="shared" si="3"/>
        <v>An effective governance structure for penetration testing would typically cover all main systems enterprise-wide (while focusing on the most critical), through a penetration testing programme that includes penetration testing processes and methodologies, supplier selection criteria, and a penetration testing assurance management framework; supported by a joint management and technical team to agree the programme and scope of regular penetration testing, an effective change management process and a set of key performance indicators for the results of the penetration tests.</v>
      </c>
      <c r="G13" s="138"/>
      <c r="H13" s="138"/>
      <c r="I13" s="138"/>
      <c r="J13" s="138"/>
      <c r="K13" s="138"/>
      <c r="L13" s="138"/>
      <c r="M13" s="138"/>
      <c r="N13" s="121" t="str">
        <f t="shared" ca="1" si="4"/>
        <v/>
      </c>
      <c r="O13" s="118" t="str">
        <f t="shared" ca="1" si="5"/>
        <v/>
      </c>
      <c r="P13" s="122"/>
      <c r="Q13" s="122"/>
      <c r="R13" s="118"/>
      <c r="S13" s="118"/>
      <c r="T13" s="118"/>
      <c r="U13" s="118"/>
      <c r="V13" s="118"/>
      <c r="W13" s="118"/>
      <c r="X13" s="118"/>
      <c r="Y13" s="118"/>
      <c r="Z13" s="123"/>
      <c r="AA13" s="118"/>
      <c r="AB13" s="118"/>
      <c r="AC13" s="118"/>
      <c r="AD13" s="118"/>
      <c r="AE13" s="118"/>
      <c r="AF13" s="118"/>
      <c r="AG13" s="118"/>
      <c r="AH13" s="202">
        <v>1</v>
      </c>
      <c r="AI13" s="13"/>
    </row>
    <row r="14" spans="1:35" s="74" customFormat="1" ht="30" customHeight="1" x14ac:dyDescent="0.25">
      <c r="A14" s="72">
        <v>8</v>
      </c>
      <c r="B14" s="73" t="str">
        <f t="shared" si="0"/>
        <v>A.3</v>
      </c>
      <c r="C14" s="20">
        <f t="shared" si="1"/>
        <v>2</v>
      </c>
      <c r="D14" s="20"/>
      <c r="E14" s="142" t="str">
        <f t="shared" si="2"/>
        <v>Step 3</v>
      </c>
      <c r="F14" s="143" t="str">
        <f t="shared" si="3"/>
        <v>Evaluate drivers for conducting penetration tests</v>
      </c>
      <c r="G14" s="143"/>
      <c r="H14" s="143"/>
      <c r="I14" s="143"/>
      <c r="J14" s="143"/>
      <c r="K14" s="143"/>
      <c r="L14" s="143"/>
      <c r="M14" s="143"/>
      <c r="N14" s="143" t="str">
        <f t="shared" ca="1" si="4"/>
        <v/>
      </c>
      <c r="O14" s="143" t="str">
        <f t="shared" ca="1" si="5"/>
        <v/>
      </c>
      <c r="P14" s="143"/>
      <c r="Q14" s="143"/>
      <c r="R14" s="143"/>
      <c r="S14" s="143"/>
      <c r="T14" s="143"/>
      <c r="U14" s="143"/>
      <c r="V14" s="143"/>
      <c r="W14" s="143"/>
      <c r="X14" s="143"/>
      <c r="Y14" s="143"/>
      <c r="Z14" s="143"/>
      <c r="AA14" s="143"/>
      <c r="AB14" s="143"/>
      <c r="AC14" s="143"/>
      <c r="AD14" s="143"/>
      <c r="AE14" s="143"/>
      <c r="AF14" s="143"/>
      <c r="AG14" s="143"/>
      <c r="AH14" s="77"/>
      <c r="AI14" s="13"/>
    </row>
    <row r="15" spans="1:35" s="125" customFormat="1" ht="60" x14ac:dyDescent="0.25">
      <c r="A15" s="137">
        <v>9</v>
      </c>
      <c r="B15" s="117" t="str">
        <f t="shared" si="0"/>
        <v>A.3.01</v>
      </c>
      <c r="C15" s="118">
        <f t="shared" si="1"/>
        <v>5</v>
      </c>
      <c r="D15" s="87"/>
      <c r="E15" s="119" t="str">
        <f t="shared" si="2"/>
        <v>A.3.01</v>
      </c>
      <c r="F15" s="140" t="str">
        <f t="shared" si="3"/>
        <v>Have you identified drivers for carrying out penetration tests as part of a technical assurance programme, based on an evaluation of relevant criteria, such as the impact of serious incidents, increased threat levels or significant changes to business or IT processes?</v>
      </c>
      <c r="G15" s="118"/>
      <c r="H15" s="139"/>
      <c r="I15" s="141"/>
      <c r="J15" s="139"/>
      <c r="K15" s="139"/>
      <c r="L15" s="139"/>
      <c r="M15" s="139"/>
      <c r="N15" s="121" t="str">
        <f t="shared" ca="1" si="4"/>
        <v>x 1</v>
      </c>
      <c r="O15" s="121" t="str">
        <f t="shared" ca="1" si="5"/>
        <v/>
      </c>
      <c r="P15" s="122"/>
      <c r="Q15" s="122"/>
      <c r="R15" s="118"/>
      <c r="S15" s="118"/>
      <c r="T15" s="118"/>
      <c r="U15" s="118"/>
      <c r="V15" s="118"/>
      <c r="W15" s="118"/>
      <c r="X15" s="118"/>
      <c r="Y15" s="118"/>
      <c r="Z15" s="123"/>
      <c r="AA15" s="118">
        <v>1</v>
      </c>
      <c r="AB15" s="118"/>
      <c r="AC15" s="118"/>
      <c r="AD15" s="118"/>
      <c r="AE15" s="118"/>
      <c r="AF15" s="118"/>
      <c r="AG15" s="118"/>
      <c r="AH15" s="124">
        <v>1</v>
      </c>
      <c r="AI15"/>
    </row>
    <row r="16" spans="1:35" s="125" customFormat="1" ht="90" x14ac:dyDescent="0.25">
      <c r="A16" s="137">
        <v>10</v>
      </c>
      <c r="B16" s="117" t="str">
        <f t="shared" si="0"/>
        <v/>
      </c>
      <c r="C16" s="118">
        <f t="shared" si="1"/>
        <v>3</v>
      </c>
      <c r="D16" s="87"/>
      <c r="E16" s="119" t="str">
        <f t="shared" si="2"/>
        <v/>
      </c>
      <c r="F16" s="138" t="str">
        <f t="shared" si="3"/>
        <v>Drivers for carrying out penetration tests should: be placed within a wider context of security assessment and strategy to contextualise the findings and recommendations; focus on ensuring that major system vulnerabilities are identified and addressed; and help to reduce the risk of discovering that the same problems still exist the next time a penetration test is carried out.</v>
      </c>
      <c r="G16" s="138"/>
      <c r="H16" s="138"/>
      <c r="I16" s="138"/>
      <c r="J16" s="138"/>
      <c r="K16" s="138"/>
      <c r="L16" s="138"/>
      <c r="M16" s="138"/>
      <c r="N16" s="121" t="str">
        <f t="shared" ca="1" si="4"/>
        <v/>
      </c>
      <c r="O16" s="118" t="str">
        <f t="shared" ca="1" si="5"/>
        <v/>
      </c>
      <c r="P16" s="122"/>
      <c r="Q16" s="122"/>
      <c r="R16" s="118"/>
      <c r="S16" s="118"/>
      <c r="T16" s="118"/>
      <c r="U16" s="118"/>
      <c r="V16" s="118"/>
      <c r="W16" s="118"/>
      <c r="X16" s="118"/>
      <c r="Y16" s="118"/>
      <c r="Z16" s="123"/>
      <c r="AA16" s="118"/>
      <c r="AB16" s="118"/>
      <c r="AC16" s="118"/>
      <c r="AD16" s="118"/>
      <c r="AE16" s="118"/>
      <c r="AF16" s="118"/>
      <c r="AG16" s="118"/>
      <c r="AH16" s="121">
        <v>1</v>
      </c>
      <c r="AI16" s="13"/>
    </row>
    <row r="17" spans="1:35" s="125" customFormat="1" ht="30" customHeight="1" x14ac:dyDescent="0.25">
      <c r="A17" s="134">
        <v>11</v>
      </c>
      <c r="B17" s="117" t="str">
        <f t="shared" si="0"/>
        <v>A.4</v>
      </c>
      <c r="C17" s="118">
        <f t="shared" si="1"/>
        <v>2</v>
      </c>
      <c r="D17" s="87"/>
      <c r="E17" s="142" t="str">
        <f t="shared" si="2"/>
        <v>Step 4</v>
      </c>
      <c r="F17" s="143" t="str">
        <f t="shared" si="3"/>
        <v>Identify target environments</v>
      </c>
      <c r="G17" s="143"/>
      <c r="H17" s="143"/>
      <c r="I17" s="143"/>
      <c r="J17" s="143"/>
      <c r="K17" s="143"/>
      <c r="L17" s="143"/>
      <c r="M17" s="143"/>
      <c r="N17" s="143" t="str">
        <f t="shared" ca="1" si="4"/>
        <v/>
      </c>
      <c r="O17" s="143" t="str">
        <f t="shared" ca="1" si="5"/>
        <v/>
      </c>
      <c r="P17" s="143"/>
      <c r="Q17" s="143"/>
      <c r="R17" s="143"/>
      <c r="S17" s="143"/>
      <c r="T17" s="143"/>
      <c r="U17" s="143"/>
      <c r="V17" s="143"/>
      <c r="W17" s="143"/>
      <c r="X17" s="143"/>
      <c r="Y17" s="143"/>
      <c r="Z17" s="143"/>
      <c r="AA17" s="143"/>
      <c r="AB17" s="143"/>
      <c r="AC17" s="143"/>
      <c r="AD17" s="143"/>
      <c r="AE17" s="143"/>
      <c r="AF17" s="143"/>
      <c r="AG17" s="143"/>
      <c r="AH17" s="124"/>
      <c r="AI17" s="13"/>
    </row>
    <row r="18" spans="1:35" s="125" customFormat="1" ht="45" x14ac:dyDescent="0.25">
      <c r="A18" s="137">
        <v>12</v>
      </c>
      <c r="B18" s="117" t="str">
        <f t="shared" si="0"/>
        <v>A.4.01</v>
      </c>
      <c r="C18" s="118">
        <f t="shared" si="1"/>
        <v>5</v>
      </c>
      <c r="D18" s="87"/>
      <c r="E18" s="119" t="str">
        <f t="shared" si="2"/>
        <v>A.4.01</v>
      </c>
      <c r="F18" s="140" t="str">
        <f t="shared" si="3"/>
        <v>Have you identified target environments that need to be subject to penetration testing, such as critical web applications and important IT infrastructure?</v>
      </c>
      <c r="G18" s="118"/>
      <c r="H18" s="139"/>
      <c r="I18" s="141"/>
      <c r="J18" s="139"/>
      <c r="K18" s="139"/>
      <c r="L18" s="139"/>
      <c r="M18" s="139"/>
      <c r="N18" s="121" t="str">
        <f t="shared" ca="1" si="4"/>
        <v>x 1</v>
      </c>
      <c r="O18" s="121" t="str">
        <f t="shared" ca="1" si="5"/>
        <v/>
      </c>
      <c r="P18" s="122"/>
      <c r="Q18" s="122"/>
      <c r="R18" s="118"/>
      <c r="S18" s="118"/>
      <c r="T18" s="118"/>
      <c r="U18" s="118"/>
      <c r="V18" s="118"/>
      <c r="W18" s="118"/>
      <c r="X18" s="118"/>
      <c r="Y18" s="118"/>
      <c r="Z18" s="123"/>
      <c r="AA18" s="118">
        <v>1</v>
      </c>
      <c r="AB18" s="118"/>
      <c r="AC18" s="118"/>
      <c r="AD18" s="118"/>
      <c r="AE18" s="118"/>
      <c r="AF18" s="118"/>
      <c r="AG18" s="118"/>
      <c r="AH18" s="124">
        <v>1</v>
      </c>
      <c r="AI18" s="13"/>
    </row>
    <row r="19" spans="1:35" s="125" customFormat="1" ht="75" x14ac:dyDescent="0.25">
      <c r="A19" s="137">
        <v>13</v>
      </c>
      <c r="B19" s="117" t="str">
        <f t="shared" si="0"/>
        <v/>
      </c>
      <c r="C19" s="118">
        <f t="shared" si="1"/>
        <v>3</v>
      </c>
      <c r="D19" s="87"/>
      <c r="E19" s="119" t="str">
        <f t="shared" si="2"/>
        <v/>
      </c>
      <c r="F19" s="138" t="str">
        <f t="shared" si="3"/>
        <v>Identification of target environments that need to be subject to penetration testing should take account of a wide range of factors including compliance requirements, system criticality and significant changes to critical business processes, as well as being built into relevant stages of systems under development.</v>
      </c>
      <c r="G19" s="138"/>
      <c r="H19" s="138"/>
      <c r="I19" s="138"/>
      <c r="J19" s="138"/>
      <c r="K19" s="138"/>
      <c r="L19" s="138"/>
      <c r="M19" s="138"/>
      <c r="N19" s="121" t="str">
        <f t="shared" ca="1" si="4"/>
        <v/>
      </c>
      <c r="O19" s="118" t="str">
        <f t="shared" ca="1" si="5"/>
        <v/>
      </c>
      <c r="P19" s="122"/>
      <c r="Q19" s="122"/>
      <c r="R19" s="118"/>
      <c r="S19" s="118"/>
      <c r="T19" s="118"/>
      <c r="U19" s="118"/>
      <c r="V19" s="118"/>
      <c r="W19" s="118"/>
      <c r="X19" s="118"/>
      <c r="Y19" s="118"/>
      <c r="Z19" s="123"/>
      <c r="AA19" s="118"/>
      <c r="AB19" s="118"/>
      <c r="AC19" s="118"/>
      <c r="AD19" s="118"/>
      <c r="AE19" s="118"/>
      <c r="AF19" s="118"/>
      <c r="AG19" s="118"/>
      <c r="AH19" s="121">
        <v>1</v>
      </c>
      <c r="AI19" s="13"/>
    </row>
    <row r="20" spans="1:35" s="125" customFormat="1" ht="30" customHeight="1" x14ac:dyDescent="0.25">
      <c r="A20" s="134">
        <v>14</v>
      </c>
      <c r="B20" s="117" t="str">
        <f t="shared" si="0"/>
        <v>A.5</v>
      </c>
      <c r="C20" s="118">
        <f t="shared" si="1"/>
        <v>2</v>
      </c>
      <c r="D20" s="87"/>
      <c r="E20" s="142" t="str">
        <f t="shared" si="2"/>
        <v>Step 5</v>
      </c>
      <c r="F20" s="143" t="str">
        <f t="shared" si="3"/>
        <v>Define the purpose of the penetration tests</v>
      </c>
      <c r="G20" s="143"/>
      <c r="H20" s="143"/>
      <c r="I20" s="143"/>
      <c r="J20" s="143"/>
      <c r="K20" s="143"/>
      <c r="L20" s="143"/>
      <c r="M20" s="143"/>
      <c r="N20" s="143" t="str">
        <f t="shared" ca="1" si="4"/>
        <v/>
      </c>
      <c r="O20" s="143" t="str">
        <f t="shared" ca="1" si="5"/>
        <v/>
      </c>
      <c r="P20" s="143"/>
      <c r="Q20" s="143"/>
      <c r="R20" s="143"/>
      <c r="S20" s="143"/>
      <c r="T20" s="143"/>
      <c r="U20" s="143"/>
      <c r="V20" s="143"/>
      <c r="W20" s="143"/>
      <c r="X20" s="143"/>
      <c r="Y20" s="143"/>
      <c r="Z20" s="143"/>
      <c r="AA20" s="143"/>
      <c r="AB20" s="143"/>
      <c r="AC20" s="143"/>
      <c r="AD20" s="143"/>
      <c r="AE20" s="143"/>
      <c r="AF20" s="143"/>
      <c r="AG20" s="143"/>
      <c r="AH20" s="124"/>
      <c r="AI20" s="13"/>
    </row>
    <row r="21" spans="1:35" s="125" customFormat="1" ht="30" x14ac:dyDescent="0.25">
      <c r="A21" s="137">
        <v>15</v>
      </c>
      <c r="B21" s="117" t="str">
        <f t="shared" si="0"/>
        <v>A.5.01</v>
      </c>
      <c r="C21" s="118">
        <f t="shared" si="1"/>
        <v>5</v>
      </c>
      <c r="D21" s="87"/>
      <c r="E21" s="119" t="str">
        <f t="shared" si="2"/>
        <v>A.5.01</v>
      </c>
      <c r="F21" s="140" t="str">
        <f t="shared" si="3"/>
        <v>Do you define the purpose of penetration tests, evaluating the potential benefits to your organisation?</v>
      </c>
      <c r="G21" s="118"/>
      <c r="H21" s="139"/>
      <c r="I21" s="141"/>
      <c r="J21" s="139"/>
      <c r="K21" s="139"/>
      <c r="L21" s="139"/>
      <c r="M21" s="139"/>
      <c r="N21" s="121" t="str">
        <f t="shared" ca="1" si="4"/>
        <v>x 1</v>
      </c>
      <c r="O21" s="121" t="str">
        <f t="shared" ca="1" si="5"/>
        <v/>
      </c>
      <c r="P21" s="122"/>
      <c r="Q21" s="122"/>
      <c r="R21" s="118"/>
      <c r="S21" s="118"/>
      <c r="T21" s="118"/>
      <c r="U21" s="118"/>
      <c r="V21" s="118"/>
      <c r="W21" s="118"/>
      <c r="X21" s="118"/>
      <c r="Y21" s="118"/>
      <c r="Z21" s="123"/>
      <c r="AA21" s="118">
        <v>1</v>
      </c>
      <c r="AB21" s="118"/>
      <c r="AC21" s="118"/>
      <c r="AD21" s="118"/>
      <c r="AE21" s="118"/>
      <c r="AF21" s="118"/>
      <c r="AG21" s="118"/>
      <c r="AH21" s="124">
        <v>1</v>
      </c>
      <c r="AI21" s="13"/>
    </row>
    <row r="22" spans="1:35" s="125" customFormat="1" ht="120" x14ac:dyDescent="0.25">
      <c r="A22" s="137">
        <v>16</v>
      </c>
      <c r="B22" s="117" t="str">
        <f t="shared" si="0"/>
        <v/>
      </c>
      <c r="C22" s="118">
        <f t="shared" si="1"/>
        <v>3</v>
      </c>
      <c r="D22" s="87"/>
      <c r="E22" s="119" t="str">
        <f t="shared" si="2"/>
        <v/>
      </c>
      <c r="F22" s="138" t="str">
        <f t="shared" si="3"/>
        <v>Identifying the purpose of penetration tests should include assessing whether these tests can help your organisation to meet requirements (e.g. identify weaknesses in your security controls; reduce the frequency and impact of security incidents; comply with legal and regulatory requirements); and realise potential benefits (e.g. IT cost reductions; technical and business improvements; greater awareness of security risks and controls) – whilst taking account of any testing limitations or difficulties.</v>
      </c>
      <c r="G22" s="138"/>
      <c r="H22" s="138"/>
      <c r="I22" s="138"/>
      <c r="J22" s="138"/>
      <c r="K22" s="138"/>
      <c r="L22" s="138"/>
      <c r="M22" s="138"/>
      <c r="N22" s="121" t="str">
        <f t="shared" ca="1" si="4"/>
        <v/>
      </c>
      <c r="O22" s="118" t="str">
        <f t="shared" ca="1" si="5"/>
        <v/>
      </c>
      <c r="P22" s="122"/>
      <c r="Q22" s="122"/>
      <c r="R22" s="118"/>
      <c r="S22" s="118"/>
      <c r="T22" s="118"/>
      <c r="U22" s="118"/>
      <c r="V22" s="118"/>
      <c r="W22" s="118"/>
      <c r="X22" s="118"/>
      <c r="Y22" s="118"/>
      <c r="Z22" s="123"/>
      <c r="AA22" s="118"/>
      <c r="AB22" s="118"/>
      <c r="AC22" s="118"/>
      <c r="AD22" s="118"/>
      <c r="AE22" s="118"/>
      <c r="AF22" s="118"/>
      <c r="AG22" s="118"/>
      <c r="AH22" s="121">
        <v>1</v>
      </c>
      <c r="AI22" s="13"/>
    </row>
    <row r="23" spans="1:35" s="125" customFormat="1" ht="30" customHeight="1" x14ac:dyDescent="0.25">
      <c r="A23" s="134">
        <v>17</v>
      </c>
      <c r="B23" s="117" t="str">
        <f t="shared" si="0"/>
        <v>A.6</v>
      </c>
      <c r="C23" s="118">
        <f t="shared" si="1"/>
        <v>2</v>
      </c>
      <c r="D23" s="87"/>
      <c r="E23" s="142" t="str">
        <f t="shared" si="2"/>
        <v>Step 6</v>
      </c>
      <c r="F23" s="143" t="str">
        <f t="shared" si="3"/>
        <v>Produce requirements specifications</v>
      </c>
      <c r="G23" s="143"/>
      <c r="H23" s="143"/>
      <c r="I23" s="143"/>
      <c r="J23" s="143"/>
      <c r="K23" s="143"/>
      <c r="L23" s="143"/>
      <c r="M23" s="143"/>
      <c r="N23" s="143" t="str">
        <f t="shared" ca="1" si="4"/>
        <v/>
      </c>
      <c r="O23" s="143" t="str">
        <f t="shared" ca="1" si="5"/>
        <v/>
      </c>
      <c r="P23" s="143"/>
      <c r="Q23" s="143"/>
      <c r="R23" s="143"/>
      <c r="S23" s="143"/>
      <c r="T23" s="143"/>
      <c r="U23" s="143"/>
      <c r="V23" s="143"/>
      <c r="W23" s="143"/>
      <c r="X23" s="143"/>
      <c r="Y23" s="143"/>
      <c r="Z23" s="143"/>
      <c r="AA23" s="143"/>
      <c r="AB23" s="143"/>
      <c r="AC23" s="143"/>
      <c r="AD23" s="143"/>
      <c r="AE23" s="143"/>
      <c r="AF23" s="143"/>
      <c r="AG23" s="143"/>
      <c r="AH23" s="124"/>
      <c r="AI23" s="13"/>
    </row>
    <row r="24" spans="1:35" s="125" customFormat="1" ht="30" x14ac:dyDescent="0.25">
      <c r="A24" s="137">
        <v>18</v>
      </c>
      <c r="B24" s="117" t="str">
        <f t="shared" si="0"/>
        <v>A.6.01</v>
      </c>
      <c r="C24" s="118">
        <f t="shared" si="1"/>
        <v>5</v>
      </c>
      <c r="D24" s="87"/>
      <c r="E24" s="119" t="str">
        <f t="shared" si="2"/>
        <v>A.6.01</v>
      </c>
      <c r="F24" s="140" t="str">
        <f t="shared" si="3"/>
        <v>Do you define formal requirements for penetration testing carried out in your organisation?</v>
      </c>
      <c r="G24" s="118"/>
      <c r="H24" s="139"/>
      <c r="I24" s="141"/>
      <c r="J24" s="139"/>
      <c r="K24" s="139"/>
      <c r="L24" s="139"/>
      <c r="M24" s="139"/>
      <c r="N24" s="121" t="str">
        <f t="shared" ca="1" si="4"/>
        <v>x 1</v>
      </c>
      <c r="O24" s="121" t="str">
        <f t="shared" ca="1" si="5"/>
        <v/>
      </c>
      <c r="P24" s="122"/>
      <c r="Q24" s="122"/>
      <c r="R24" s="118"/>
      <c r="S24" s="118"/>
      <c r="T24" s="118"/>
      <c r="U24" s="118"/>
      <c r="V24" s="118"/>
      <c r="W24" s="118"/>
      <c r="X24" s="118"/>
      <c r="Y24" s="118"/>
      <c r="Z24" s="123"/>
      <c r="AA24" s="118">
        <v>1</v>
      </c>
      <c r="AB24" s="118"/>
      <c r="AC24" s="118"/>
      <c r="AD24" s="118"/>
      <c r="AE24" s="118"/>
      <c r="AF24" s="118"/>
      <c r="AG24" s="118"/>
      <c r="AH24" s="124">
        <v>1</v>
      </c>
      <c r="AI24" s="13"/>
    </row>
    <row r="25" spans="1:35" s="125" customFormat="1" ht="75" x14ac:dyDescent="0.25">
      <c r="A25" s="137">
        <v>19</v>
      </c>
      <c r="B25" s="117" t="str">
        <f t="shared" si="0"/>
        <v/>
      </c>
      <c r="C25" s="118">
        <f t="shared" si="1"/>
        <v>3</v>
      </c>
      <c r="D25" s="87"/>
      <c r="E25" s="119" t="str">
        <f t="shared" si="2"/>
        <v/>
      </c>
      <c r="F25" s="138" t="str">
        <f t="shared" si="3"/>
        <v>Requirements for penetration testing should include consideration of important business applications, key IT infrastructure and confidential data; validation that tests are legal and will not compromise confidential data; and the need for tests to be recorded, reviewed and signed-off.</v>
      </c>
      <c r="G25" s="138"/>
      <c r="H25" s="138"/>
      <c r="I25" s="138"/>
      <c r="J25" s="138"/>
      <c r="K25" s="138"/>
      <c r="L25" s="138"/>
      <c r="M25" s="138"/>
      <c r="N25" s="121" t="str">
        <f t="shared" ca="1" si="4"/>
        <v/>
      </c>
      <c r="O25" s="118" t="str">
        <f t="shared" ca="1" si="5"/>
        <v/>
      </c>
      <c r="P25" s="122"/>
      <c r="Q25" s="122"/>
      <c r="R25" s="118"/>
      <c r="S25" s="118"/>
      <c r="T25" s="118"/>
      <c r="U25" s="118"/>
      <c r="V25" s="118"/>
      <c r="W25" s="118"/>
      <c r="X25" s="118"/>
      <c r="Y25" s="118"/>
      <c r="Z25" s="123"/>
      <c r="AA25" s="118"/>
      <c r="AB25" s="118"/>
      <c r="AC25" s="118"/>
      <c r="AD25" s="118"/>
      <c r="AE25" s="118"/>
      <c r="AF25" s="118"/>
      <c r="AG25" s="118"/>
      <c r="AH25" s="121">
        <v>1</v>
      </c>
      <c r="AI25" s="13"/>
    </row>
    <row r="26" spans="1:35" s="125" customFormat="1" ht="30" customHeight="1" x14ac:dyDescent="0.25">
      <c r="A26" s="134">
        <v>20</v>
      </c>
      <c r="B26" s="117" t="str">
        <f t="shared" si="0"/>
        <v>A.7</v>
      </c>
      <c r="C26" s="118">
        <f t="shared" si="1"/>
        <v>2</v>
      </c>
      <c r="D26" s="87"/>
      <c r="E26" s="142" t="str">
        <f t="shared" si="2"/>
        <v>Step 7</v>
      </c>
      <c r="F26" s="143" t="str">
        <f t="shared" si="3"/>
        <v>Select suitable suppliers</v>
      </c>
      <c r="G26" s="143"/>
      <c r="H26" s="143"/>
      <c r="I26" s="143"/>
      <c r="J26" s="143"/>
      <c r="K26" s="143"/>
      <c r="L26" s="143"/>
      <c r="M26" s="143"/>
      <c r="N26" s="143" t="str">
        <f t="shared" ca="1" si="4"/>
        <v/>
      </c>
      <c r="O26" s="143" t="str">
        <f t="shared" ca="1" si="5"/>
        <v/>
      </c>
      <c r="P26" s="143"/>
      <c r="Q26" s="143"/>
      <c r="R26" s="143"/>
      <c r="S26" s="143"/>
      <c r="T26" s="143"/>
      <c r="U26" s="143"/>
      <c r="V26" s="143"/>
      <c r="W26" s="143"/>
      <c r="X26" s="143"/>
      <c r="Y26" s="143"/>
      <c r="Z26" s="143"/>
      <c r="AA26" s="143"/>
      <c r="AB26" s="143"/>
      <c r="AC26" s="143"/>
      <c r="AD26" s="143"/>
      <c r="AE26" s="143"/>
      <c r="AF26" s="143"/>
      <c r="AG26" s="143"/>
      <c r="AH26" s="124"/>
      <c r="AI26" s="13"/>
    </row>
    <row r="27" spans="1:35" s="125" customFormat="1" ht="60" x14ac:dyDescent="0.25">
      <c r="A27" s="137">
        <v>21</v>
      </c>
      <c r="B27" s="117" t="str">
        <f t="shared" si="0"/>
        <v>A.7.01</v>
      </c>
      <c r="C27" s="118">
        <f t="shared" si="1"/>
        <v>5</v>
      </c>
      <c r="D27" s="87"/>
      <c r="E27" s="119" t="str">
        <f t="shared" si="2"/>
        <v>A.7.01</v>
      </c>
      <c r="F27" s="140" t="str">
        <f t="shared" si="3"/>
        <v>Do you appoint suitable third party suppliers to undertake independent penetration testing (based on defined requirements, benefit evaluation, specified supplier selection criteria and validation of the supplier’s ability to meet your specific requirements)?</v>
      </c>
      <c r="G27" s="118"/>
      <c r="H27" s="139"/>
      <c r="I27" s="141"/>
      <c r="J27" s="139"/>
      <c r="K27" s="139"/>
      <c r="L27" s="139"/>
      <c r="M27" s="139"/>
      <c r="N27" s="121" t="str">
        <f t="shared" ca="1" si="4"/>
        <v>x 1</v>
      </c>
      <c r="O27" s="121" t="str">
        <f t="shared" ca="1" si="5"/>
        <v/>
      </c>
      <c r="P27" s="122"/>
      <c r="Q27" s="122"/>
      <c r="R27" s="118"/>
      <c r="S27" s="118"/>
      <c r="T27" s="118"/>
      <c r="U27" s="118"/>
      <c r="V27" s="118"/>
      <c r="W27" s="118"/>
      <c r="X27" s="118"/>
      <c r="Y27" s="118"/>
      <c r="Z27" s="123"/>
      <c r="AA27" s="118">
        <v>1</v>
      </c>
      <c r="AB27" s="118"/>
      <c r="AC27" s="118"/>
      <c r="AD27" s="118"/>
      <c r="AE27" s="118"/>
      <c r="AF27" s="118"/>
      <c r="AG27" s="118"/>
      <c r="AH27" s="124">
        <v>1</v>
      </c>
      <c r="AI27" s="13"/>
    </row>
    <row r="28" spans="1:35" s="125" customFormat="1" ht="105" x14ac:dyDescent="0.25">
      <c r="A28" s="137">
        <v>22</v>
      </c>
      <c r="B28" s="117" t="str">
        <f t="shared" si="0"/>
        <v/>
      </c>
      <c r="C28" s="118">
        <f t="shared" si="1"/>
        <v>3</v>
      </c>
      <c r="D28" s="87"/>
      <c r="E28" s="119" t="str">
        <f t="shared" si="2"/>
        <v/>
      </c>
      <c r="F28" s="138" t="str">
        <f t="shared" si="3"/>
        <v>Effective supplier selection criteria should be used to determine if potential suppliers can satisfactorily meet your specific testing requirements, based on their ability to provide: solid reputation, history and ethics; high quality, value-for-money services; research and development capability; highly competent, technical testers; and security and risk management, supported by a strong professional accreditation and complaint process.</v>
      </c>
      <c r="G28" s="138"/>
      <c r="H28" s="138"/>
      <c r="I28" s="138"/>
      <c r="J28" s="138"/>
      <c r="K28" s="138"/>
      <c r="L28" s="138"/>
      <c r="M28" s="138"/>
      <c r="N28" s="121" t="str">
        <f t="shared" ca="1" si="4"/>
        <v/>
      </c>
      <c r="O28" s="118" t="str">
        <f t="shared" ca="1" si="5"/>
        <v/>
      </c>
      <c r="P28" s="122"/>
      <c r="Q28" s="122"/>
      <c r="R28" s="118"/>
      <c r="S28" s="118"/>
      <c r="T28" s="118"/>
      <c r="U28" s="118"/>
      <c r="V28" s="118"/>
      <c r="W28" s="118"/>
      <c r="X28" s="118"/>
      <c r="Y28" s="118"/>
      <c r="Z28" s="123"/>
      <c r="AA28" s="118"/>
      <c r="AB28" s="118"/>
      <c r="AC28" s="118"/>
      <c r="AD28" s="118"/>
      <c r="AE28" s="118"/>
      <c r="AF28" s="118"/>
      <c r="AG28" s="118"/>
      <c r="AH28" s="121">
        <v>1</v>
      </c>
      <c r="AI28" s="13"/>
    </row>
  </sheetData>
  <sheetProtection algorithmName="SHA-512" hashValue="iBYJ8MLIrO9LuiA9xJEj6wghmod6AF6qWJShXUO7IGPYNXU8s3zQ/ix6zT21TfZ3aiQpFO/u2jNiutSUN/FNFg==" saltValue="LSZ6pBmcUSrANdDCxHlCPw==" spinCount="100000" sheet="1" objects="1" scenarios="1"/>
  <sortState xmlns:xlrd2="http://schemas.microsoft.com/office/spreadsheetml/2017/richdata2" ref="A8:AI28">
    <sortCondition ref="A8:A28"/>
  </sortState>
  <dataConsolidate/>
  <mergeCells count="1">
    <mergeCell ref="F2:F5"/>
  </mergeCells>
  <pageMargins left="0.7" right="0.7" top="0.75" bottom="0.75" header="0.3" footer="0.3"/>
  <pageSetup paperSize="9" scale="3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9046" r:id="rId4" name="Drop Down 22">
              <controlPr locked="0" defaultSize="0" autoFill="0" autoPict="0">
                <anchor moveWithCells="1">
                  <from>
                    <xdr:col>6</xdr:col>
                    <xdr:colOff>400050</xdr:colOff>
                    <xdr:row>8</xdr:row>
                    <xdr:rowOff>76200</xdr:rowOff>
                  </from>
                  <to>
                    <xdr:col>6</xdr:col>
                    <xdr:colOff>1638300</xdr:colOff>
                    <xdr:row>8</xdr:row>
                    <xdr:rowOff>304800</xdr:rowOff>
                  </to>
                </anchor>
              </controlPr>
            </control>
          </mc:Choice>
        </mc:AlternateContent>
        <mc:AlternateContent xmlns:mc="http://schemas.openxmlformats.org/markup-compatibility/2006">
          <mc:Choice Requires="x14">
            <control shapeId="129090" r:id="rId5" name="Drop Down 66">
              <controlPr locked="0" defaultSize="0" autoFill="0" autoPict="0">
                <anchor moveWithCells="1">
                  <from>
                    <xdr:col>6</xdr:col>
                    <xdr:colOff>400050</xdr:colOff>
                    <xdr:row>11</xdr:row>
                    <xdr:rowOff>76200</xdr:rowOff>
                  </from>
                  <to>
                    <xdr:col>6</xdr:col>
                    <xdr:colOff>1638300</xdr:colOff>
                    <xdr:row>11</xdr:row>
                    <xdr:rowOff>304800</xdr:rowOff>
                  </to>
                </anchor>
              </controlPr>
            </control>
          </mc:Choice>
        </mc:AlternateContent>
        <mc:AlternateContent xmlns:mc="http://schemas.openxmlformats.org/markup-compatibility/2006">
          <mc:Choice Requires="x14">
            <control shapeId="129091" r:id="rId6" name="Drop Down 67">
              <controlPr locked="0" defaultSize="0" autoFill="0" autoPict="0">
                <anchor moveWithCells="1">
                  <from>
                    <xdr:col>6</xdr:col>
                    <xdr:colOff>400050</xdr:colOff>
                    <xdr:row>14</xdr:row>
                    <xdr:rowOff>76200</xdr:rowOff>
                  </from>
                  <to>
                    <xdr:col>6</xdr:col>
                    <xdr:colOff>1638300</xdr:colOff>
                    <xdr:row>14</xdr:row>
                    <xdr:rowOff>304800</xdr:rowOff>
                  </to>
                </anchor>
              </controlPr>
            </control>
          </mc:Choice>
        </mc:AlternateContent>
        <mc:AlternateContent xmlns:mc="http://schemas.openxmlformats.org/markup-compatibility/2006">
          <mc:Choice Requires="x14">
            <control shapeId="129092" r:id="rId7" name="Drop Down 68">
              <controlPr locked="0" defaultSize="0" autoFill="0" autoPict="0">
                <anchor moveWithCells="1">
                  <from>
                    <xdr:col>6</xdr:col>
                    <xdr:colOff>400050</xdr:colOff>
                    <xdr:row>17</xdr:row>
                    <xdr:rowOff>76200</xdr:rowOff>
                  </from>
                  <to>
                    <xdr:col>6</xdr:col>
                    <xdr:colOff>1638300</xdr:colOff>
                    <xdr:row>17</xdr:row>
                    <xdr:rowOff>304800</xdr:rowOff>
                  </to>
                </anchor>
              </controlPr>
            </control>
          </mc:Choice>
        </mc:AlternateContent>
        <mc:AlternateContent xmlns:mc="http://schemas.openxmlformats.org/markup-compatibility/2006">
          <mc:Choice Requires="x14">
            <control shapeId="129093" r:id="rId8" name="Drop Down 69">
              <controlPr locked="0" defaultSize="0" autoFill="0" autoPict="0">
                <anchor moveWithCells="1">
                  <from>
                    <xdr:col>6</xdr:col>
                    <xdr:colOff>400050</xdr:colOff>
                    <xdr:row>20</xdr:row>
                    <xdr:rowOff>76200</xdr:rowOff>
                  </from>
                  <to>
                    <xdr:col>6</xdr:col>
                    <xdr:colOff>1638300</xdr:colOff>
                    <xdr:row>20</xdr:row>
                    <xdr:rowOff>304800</xdr:rowOff>
                  </to>
                </anchor>
              </controlPr>
            </control>
          </mc:Choice>
        </mc:AlternateContent>
        <mc:AlternateContent xmlns:mc="http://schemas.openxmlformats.org/markup-compatibility/2006">
          <mc:Choice Requires="x14">
            <control shapeId="129094" r:id="rId9" name="Drop Down 70">
              <controlPr locked="0" defaultSize="0" autoFill="0" autoPict="0">
                <anchor moveWithCells="1">
                  <from>
                    <xdr:col>6</xdr:col>
                    <xdr:colOff>400050</xdr:colOff>
                    <xdr:row>23</xdr:row>
                    <xdr:rowOff>76200</xdr:rowOff>
                  </from>
                  <to>
                    <xdr:col>6</xdr:col>
                    <xdr:colOff>1638300</xdr:colOff>
                    <xdr:row>23</xdr:row>
                    <xdr:rowOff>304800</xdr:rowOff>
                  </to>
                </anchor>
              </controlPr>
            </control>
          </mc:Choice>
        </mc:AlternateContent>
        <mc:AlternateContent xmlns:mc="http://schemas.openxmlformats.org/markup-compatibility/2006">
          <mc:Choice Requires="x14">
            <control shapeId="129095" r:id="rId10" name="Drop Down 71">
              <controlPr locked="0" defaultSize="0" autoFill="0" autoPict="0">
                <anchor moveWithCells="1">
                  <from>
                    <xdr:col>6</xdr:col>
                    <xdr:colOff>400050</xdr:colOff>
                    <xdr:row>26</xdr:row>
                    <xdr:rowOff>76200</xdr:rowOff>
                  </from>
                  <to>
                    <xdr:col>6</xdr:col>
                    <xdr:colOff>1638300</xdr:colOff>
                    <xdr:row>26</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tabColor rgb="FFFF0000"/>
    <pageSetUpPr autoPageBreaks="0" fitToPage="1"/>
  </sheetPr>
  <dimension ref="A2:AI35"/>
  <sheetViews>
    <sheetView showGridLines="0" showRowColHeaders="0" zoomScaleNormal="100" workbookViewId="0">
      <pane ySplit="7" topLeftCell="A8" activePane="bottomLeft" state="frozen"/>
      <selection pane="bottomLeft" activeCell="E9" sqref="E9"/>
    </sheetView>
  </sheetViews>
  <sheetFormatPr defaultColWidth="9.140625" defaultRowHeight="15" x14ac:dyDescent="0.25"/>
  <cols>
    <col min="1" max="1" width="9.28515625" style="21" hidden="1" customWidth="1"/>
    <col min="2" max="3" width="8.85546875" style="21" hidden="1" customWidth="1"/>
    <col min="4" max="4" width="6.28515625" style="135" customWidth="1"/>
    <col min="5" max="5" width="15.5703125" style="21" customWidth="1"/>
    <col min="6" max="6" width="67.42578125" style="21" customWidth="1"/>
    <col min="7" max="7" width="29.7109375" style="135" customWidth="1"/>
    <col min="8" max="8" width="7.7109375" style="135" hidden="1" customWidth="1"/>
    <col min="9" max="9" width="9.7109375" style="135" hidden="1" customWidth="1"/>
    <col min="10" max="13" width="7.7109375" style="135" hidden="1" customWidth="1"/>
    <col min="14" max="14" width="13.140625" style="21" hidden="1" customWidth="1"/>
    <col min="15" max="15" width="13.140625" style="21" customWidth="1"/>
    <col min="16" max="16" width="28.42578125" style="21" customWidth="1"/>
    <col min="17" max="17" width="41.7109375" style="21" customWidth="1"/>
    <col min="18" max="26" width="9.140625" style="21" customWidth="1"/>
    <col min="27" max="27" width="9.140625" style="21" hidden="1" customWidth="1"/>
    <col min="28" max="33" width="9.140625" style="21" customWidth="1"/>
    <col min="34" max="34" width="9.140625" style="78" hidden="1" customWidth="1"/>
    <col min="35" max="35" width="9.140625" style="13" customWidth="1"/>
    <col min="36" max="39" width="9.140625" style="21" customWidth="1"/>
    <col min="40" max="16384" width="9.140625" style="21"/>
  </cols>
  <sheetData>
    <row r="2" spans="1:35" s="53" customFormat="1" ht="15" customHeight="1" x14ac:dyDescent="0.25">
      <c r="A2" s="50"/>
      <c r="B2" s="21"/>
      <c r="C2" s="21"/>
      <c r="D2" s="135"/>
      <c r="E2" s="21"/>
      <c r="F2" s="313" t="str">
        <f ca="1">"Maturity model for Stage "&amp;LEFT(B8,1)&amp;" - "&amp;VLOOKUP(A8-1,Contents_Text,7,FALSE)</f>
        <v>Maturity model for Stage B - Testing</v>
      </c>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78"/>
      <c r="AI2" s="13"/>
    </row>
    <row r="3" spans="1:35" s="53" customFormat="1" ht="15" customHeight="1" x14ac:dyDescent="0.25">
      <c r="A3" s="21"/>
      <c r="B3" s="21"/>
      <c r="C3" s="21"/>
      <c r="D3" s="135"/>
      <c r="E3" s="21"/>
      <c r="F3" s="313"/>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78"/>
      <c r="AI3" s="13"/>
    </row>
    <row r="4" spans="1:35" s="53" customFormat="1" ht="15" customHeight="1" x14ac:dyDescent="0.25">
      <c r="A4" s="21"/>
      <c r="B4" s="21"/>
      <c r="C4" s="21"/>
      <c r="D4" s="135"/>
      <c r="E4" s="21"/>
      <c r="F4" s="313"/>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78"/>
      <c r="AI4" s="13"/>
    </row>
    <row r="5" spans="1:35" s="53" customFormat="1" ht="15" customHeight="1" x14ac:dyDescent="0.25">
      <c r="A5" s="21"/>
      <c r="B5" s="21"/>
      <c r="C5" s="21"/>
      <c r="D5" s="135"/>
      <c r="E5" s="21"/>
      <c r="F5" s="313"/>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78"/>
      <c r="AI5" s="13"/>
    </row>
    <row r="6" spans="1:35" ht="11.25" customHeight="1" x14ac:dyDescent="0.25"/>
    <row r="7" spans="1:35" ht="36" customHeight="1" thickBot="1" x14ac:dyDescent="0.35">
      <c r="F7" s="54"/>
      <c r="G7" s="180" t="s">
        <v>47</v>
      </c>
      <c r="H7" s="180"/>
      <c r="I7" s="180"/>
      <c r="J7" s="180"/>
      <c r="K7" s="180"/>
      <c r="L7" s="180"/>
      <c r="M7" s="180"/>
      <c r="N7" s="55" t="s">
        <v>8</v>
      </c>
      <c r="O7" s="56" t="s">
        <v>194</v>
      </c>
      <c r="P7" s="57" t="s">
        <v>48</v>
      </c>
      <c r="Q7" s="57" t="s">
        <v>0</v>
      </c>
      <c r="AH7" s="204" t="s">
        <v>132</v>
      </c>
    </row>
    <row r="8" spans="1:35" s="74" customFormat="1" ht="30" customHeight="1" x14ac:dyDescent="0.25">
      <c r="A8" s="72">
        <v>24</v>
      </c>
      <c r="B8" s="73" t="str">
        <f t="shared" ref="B8:B35" si="0">VLOOKUP(A8,contentrefmockup,2,FALSE)</f>
        <v>B.1</v>
      </c>
      <c r="C8" s="20">
        <f t="shared" ref="C8:C35" si="1">VLOOKUP(A8,contentrefmockup,15,FALSE)</f>
        <v>2</v>
      </c>
      <c r="D8" s="20"/>
      <c r="E8" s="142" t="str">
        <f t="shared" ref="E8:E35" si="2">IF(C8=1,"Phase "&amp;B8,IF(C8=2,"Step "&amp;VLOOKUP(A8,contentrefmockup,4,FALSE),B8))</f>
        <v>Step 1</v>
      </c>
      <c r="F8" s="143" t="str">
        <f t="shared" ref="F8:F35" si="3">VLOOKUP(A8,contentrefmockup,7,FALSE)</f>
        <v>Agree testing style and type</v>
      </c>
      <c r="G8" s="143"/>
      <c r="H8" s="143"/>
      <c r="I8" s="143"/>
      <c r="J8" s="143"/>
      <c r="K8" s="143"/>
      <c r="L8" s="143"/>
      <c r="M8" s="143"/>
      <c r="N8" s="143" t="str">
        <f t="shared" ref="N8:N35" ca="1" si="4">IFERROR(IF(VLOOKUP(A8,Weightings_Assessments,25,FALSE)=0,"",VLOOKUP(A8,Weightings_Assessments,25,FALSE)),"")</f>
        <v/>
      </c>
      <c r="O8" s="143" t="str">
        <f t="shared" ref="O8:O35" ca="1" si="5">IFERROR(VLOOKUP(AH8,detail_maturity_score,3,FALSE)*VLOOKUP(A8,Weightings_Assessments,23,FALSE),"")</f>
        <v/>
      </c>
      <c r="P8" s="143"/>
      <c r="Q8" s="143"/>
      <c r="R8" s="143"/>
      <c r="S8" s="143"/>
      <c r="T8" s="143"/>
      <c r="U8" s="143"/>
      <c r="V8" s="143"/>
      <c r="W8" s="143"/>
      <c r="X8" s="143"/>
      <c r="Y8" s="143"/>
      <c r="Z8" s="143"/>
      <c r="AA8" s="143"/>
      <c r="AB8" s="143"/>
      <c r="AC8" s="143"/>
      <c r="AD8" s="143"/>
      <c r="AE8" s="143"/>
      <c r="AF8" s="143"/>
      <c r="AG8" s="143"/>
      <c r="AH8" s="77"/>
      <c r="AI8" s="13"/>
    </row>
    <row r="9" spans="1:35" s="74" customFormat="1" ht="45" x14ac:dyDescent="0.25">
      <c r="A9" s="203">
        <v>25</v>
      </c>
      <c r="B9" s="73" t="str">
        <f t="shared" si="0"/>
        <v>B.1.01</v>
      </c>
      <c r="C9" s="20">
        <f t="shared" si="1"/>
        <v>5</v>
      </c>
      <c r="D9" s="20"/>
      <c r="E9" s="119" t="str">
        <f t="shared" si="2"/>
        <v>B.1.01</v>
      </c>
      <c r="F9" s="140" t="str">
        <f t="shared" si="3"/>
        <v>Do you determine what style of penetration testing is required (e.g. black, grey or white box testing; internal or external testing) and what type of testing is to be performed?</v>
      </c>
      <c r="G9" s="118"/>
      <c r="H9" s="139"/>
      <c r="I9" s="141"/>
      <c r="J9" s="139"/>
      <c r="K9" s="139"/>
      <c r="L9" s="139"/>
      <c r="M9" s="139"/>
      <c r="N9" s="121" t="str">
        <f t="shared" ca="1" si="4"/>
        <v>x 1</v>
      </c>
      <c r="O9" s="121" t="str">
        <f t="shared" ca="1" si="5"/>
        <v/>
      </c>
      <c r="P9" s="122"/>
      <c r="Q9" s="122"/>
      <c r="R9" s="118"/>
      <c r="S9" s="118"/>
      <c r="T9" s="118"/>
      <c r="U9" s="118"/>
      <c r="V9" s="118"/>
      <c r="W9" s="118"/>
      <c r="X9" s="118"/>
      <c r="Y9" s="118"/>
      <c r="Z9" s="123"/>
      <c r="AA9" s="118">
        <v>1</v>
      </c>
      <c r="AB9" s="118"/>
      <c r="AC9" s="118"/>
      <c r="AD9" s="118"/>
      <c r="AE9" s="118"/>
      <c r="AF9" s="118"/>
      <c r="AG9" s="118"/>
      <c r="AH9" s="77">
        <v>1</v>
      </c>
      <c r="AI9" s="13"/>
    </row>
    <row r="10" spans="1:35" s="74" customFormat="1" ht="150" x14ac:dyDescent="0.25">
      <c r="A10" s="203">
        <v>26</v>
      </c>
      <c r="B10" s="73" t="str">
        <f t="shared" si="0"/>
        <v/>
      </c>
      <c r="C10" s="20">
        <f t="shared" si="1"/>
        <v>3</v>
      </c>
      <c r="D10" s="20"/>
      <c r="E10" s="119" t="str">
        <f t="shared" si="2"/>
        <v/>
      </c>
      <c r="F10" s="138" t="str">
        <f t="shared" si="3"/>
        <v>When determining the style of penetration testing to be part of the scope, you should: evaluate the need for black, grey or white box testing; consider the use of an ‘external’ penetration test, aimed at IT systems from ‘outside the building’ and / or an internal security test, end-to-end testing (i.e. for people, through data, devices, applications and infrastructure), emerging technologies (e.g. mobile applications); and social engineering. The type of testing to consider as part of the scope should include web application, IT infrastructure and specialised penetration testing, as well as whether or not testing should be performed in live and / or test environments.</v>
      </c>
      <c r="G10" s="138"/>
      <c r="H10" s="138"/>
      <c r="I10" s="138"/>
      <c r="J10" s="138"/>
      <c r="K10" s="138"/>
      <c r="L10" s="138"/>
      <c r="M10" s="138"/>
      <c r="N10" s="121" t="str">
        <f t="shared" ca="1" si="4"/>
        <v/>
      </c>
      <c r="O10" s="118" t="str">
        <f t="shared" ca="1" si="5"/>
        <v/>
      </c>
      <c r="P10" s="122"/>
      <c r="Q10" s="122"/>
      <c r="R10" s="118"/>
      <c r="S10" s="118"/>
      <c r="T10" s="118"/>
      <c r="U10" s="118"/>
      <c r="V10" s="118"/>
      <c r="W10" s="118"/>
      <c r="X10" s="118"/>
      <c r="Y10" s="118"/>
      <c r="Z10" s="123"/>
      <c r="AA10" s="118"/>
      <c r="AB10" s="118"/>
      <c r="AC10" s="118"/>
      <c r="AD10" s="118"/>
      <c r="AE10" s="118"/>
      <c r="AF10" s="118"/>
      <c r="AG10" s="118"/>
      <c r="AH10" s="202"/>
      <c r="AI10" s="13"/>
    </row>
    <row r="11" spans="1:35" s="74" customFormat="1" ht="30" customHeight="1" x14ac:dyDescent="0.25">
      <c r="A11" s="72">
        <v>27</v>
      </c>
      <c r="B11" s="73" t="str">
        <f t="shared" si="0"/>
        <v>B.2</v>
      </c>
      <c r="C11" s="20">
        <f t="shared" si="1"/>
        <v>2</v>
      </c>
      <c r="D11" s="20"/>
      <c r="E11" s="142" t="str">
        <f t="shared" si="2"/>
        <v>Step 2</v>
      </c>
      <c r="F11" s="143" t="str">
        <f t="shared" si="3"/>
        <v>Identify testing constraints</v>
      </c>
      <c r="G11" s="143"/>
      <c r="H11" s="143"/>
      <c r="I11" s="143"/>
      <c r="J11" s="143"/>
      <c r="K11" s="143"/>
      <c r="L11" s="143"/>
      <c r="M11" s="143"/>
      <c r="N11" s="143" t="str">
        <f t="shared" ca="1" si="4"/>
        <v/>
      </c>
      <c r="O11" s="143" t="str">
        <f t="shared" ca="1" si="5"/>
        <v/>
      </c>
      <c r="P11" s="143"/>
      <c r="Q11" s="143"/>
      <c r="R11" s="143"/>
      <c r="S11" s="143"/>
      <c r="T11" s="143"/>
      <c r="U11" s="143"/>
      <c r="V11" s="143"/>
      <c r="W11" s="143"/>
      <c r="X11" s="143"/>
      <c r="Y11" s="143"/>
      <c r="Z11" s="143"/>
      <c r="AA11" s="143"/>
      <c r="AB11" s="143"/>
      <c r="AC11" s="143"/>
      <c r="AD11" s="143"/>
      <c r="AE11" s="143"/>
      <c r="AF11" s="143"/>
      <c r="AG11" s="143"/>
      <c r="AH11" s="77"/>
      <c r="AI11" s="13"/>
    </row>
    <row r="12" spans="1:35" s="74" customFormat="1" ht="30" x14ac:dyDescent="0.25">
      <c r="A12" s="203">
        <v>28</v>
      </c>
      <c r="B12" s="73" t="str">
        <f t="shared" si="0"/>
        <v>B.2.01</v>
      </c>
      <c r="C12" s="20">
        <f t="shared" si="1"/>
        <v>5</v>
      </c>
      <c r="D12" s="20"/>
      <c r="E12" s="119" t="str">
        <f t="shared" si="2"/>
        <v>B.2.01</v>
      </c>
      <c r="F12" s="140" t="str">
        <f t="shared" si="3"/>
        <v>Do you identify any testing constraints associated with planned penetration testing?</v>
      </c>
      <c r="G12" s="118"/>
      <c r="H12" s="139"/>
      <c r="I12" s="141"/>
      <c r="J12" s="139"/>
      <c r="K12" s="139"/>
      <c r="L12" s="139"/>
      <c r="M12" s="139"/>
      <c r="N12" s="121" t="str">
        <f t="shared" ca="1" si="4"/>
        <v>x 1</v>
      </c>
      <c r="O12" s="121" t="str">
        <f t="shared" ca="1" si="5"/>
        <v/>
      </c>
      <c r="P12" s="122"/>
      <c r="Q12" s="122"/>
      <c r="R12" s="118"/>
      <c r="S12" s="118"/>
      <c r="T12" s="118"/>
      <c r="U12" s="118"/>
      <c r="V12" s="118"/>
      <c r="W12" s="118"/>
      <c r="X12" s="118"/>
      <c r="Y12" s="118"/>
      <c r="Z12" s="123"/>
      <c r="AA12" s="118">
        <v>1</v>
      </c>
      <c r="AB12" s="118"/>
      <c r="AC12" s="118"/>
      <c r="AD12" s="118"/>
      <c r="AE12" s="118"/>
      <c r="AF12" s="118"/>
      <c r="AG12" s="118"/>
      <c r="AH12" s="77">
        <v>1</v>
      </c>
      <c r="AI12" s="13"/>
    </row>
    <row r="13" spans="1:35" s="74" customFormat="1" ht="60" x14ac:dyDescent="0.25">
      <c r="A13" s="203">
        <v>29</v>
      </c>
      <c r="B13" s="73" t="str">
        <f t="shared" si="0"/>
        <v/>
      </c>
      <c r="C13" s="20">
        <f t="shared" si="1"/>
        <v>3</v>
      </c>
      <c r="D13" s="20"/>
      <c r="E13" s="119" t="str">
        <f t="shared" si="2"/>
        <v/>
      </c>
      <c r="F13" s="138" t="str">
        <f t="shared" si="3"/>
        <v>Testing constraints can include: aspects of the business that cannot be tested due to operational and technical limitations; legal, resourcing or time restrictions; and the likelihood that most penetration testing will not find all vulnerabilities of a given environment.</v>
      </c>
      <c r="G13" s="138"/>
      <c r="H13" s="138"/>
      <c r="I13" s="138"/>
      <c r="J13" s="138"/>
      <c r="K13" s="138"/>
      <c r="L13" s="138"/>
      <c r="M13" s="138"/>
      <c r="N13" s="121" t="str">
        <f t="shared" ca="1" si="4"/>
        <v/>
      </c>
      <c r="O13" s="118" t="str">
        <f t="shared" ca="1" si="5"/>
        <v/>
      </c>
      <c r="P13" s="122"/>
      <c r="Q13" s="122"/>
      <c r="R13" s="118"/>
      <c r="S13" s="118"/>
      <c r="T13" s="118"/>
      <c r="U13" s="118"/>
      <c r="V13" s="118"/>
      <c r="W13" s="118"/>
      <c r="X13" s="118"/>
      <c r="Y13" s="118"/>
      <c r="Z13" s="123"/>
      <c r="AA13" s="118"/>
      <c r="AB13" s="118"/>
      <c r="AC13" s="118"/>
      <c r="AD13" s="118"/>
      <c r="AE13" s="118"/>
      <c r="AF13" s="118"/>
      <c r="AG13" s="118"/>
      <c r="AH13" s="202">
        <v>1</v>
      </c>
      <c r="AI13" s="13"/>
    </row>
    <row r="14" spans="1:35" s="74" customFormat="1" ht="30" customHeight="1" x14ac:dyDescent="0.25">
      <c r="A14" s="72">
        <v>30</v>
      </c>
      <c r="B14" s="73" t="str">
        <f t="shared" si="0"/>
        <v>B.3</v>
      </c>
      <c r="C14" s="20">
        <f t="shared" si="1"/>
        <v>2</v>
      </c>
      <c r="D14" s="20"/>
      <c r="E14" s="142" t="str">
        <f t="shared" si="2"/>
        <v>Step 3</v>
      </c>
      <c r="F14" s="143" t="str">
        <f t="shared" si="3"/>
        <v>Produce scope statements</v>
      </c>
      <c r="G14" s="143"/>
      <c r="H14" s="143"/>
      <c r="I14" s="143"/>
      <c r="J14" s="143"/>
      <c r="K14" s="143"/>
      <c r="L14" s="143"/>
      <c r="M14" s="143"/>
      <c r="N14" s="143" t="str">
        <f t="shared" ca="1" si="4"/>
        <v/>
      </c>
      <c r="O14" s="143" t="str">
        <f t="shared" ca="1" si="5"/>
        <v/>
      </c>
      <c r="P14" s="143"/>
      <c r="Q14" s="143"/>
      <c r="R14" s="143"/>
      <c r="S14" s="143"/>
      <c r="T14" s="143"/>
      <c r="U14" s="143"/>
      <c r="V14" s="143"/>
      <c r="W14" s="143"/>
      <c r="X14" s="143"/>
      <c r="Y14" s="143"/>
      <c r="Z14" s="143"/>
      <c r="AA14" s="143"/>
      <c r="AB14" s="143"/>
      <c r="AC14" s="143"/>
      <c r="AD14" s="143"/>
      <c r="AE14" s="143"/>
      <c r="AF14" s="143"/>
      <c r="AG14" s="143"/>
      <c r="AH14" s="77"/>
      <c r="AI14" s="13"/>
    </row>
    <row r="15" spans="1:35" s="74" customFormat="1" ht="45" x14ac:dyDescent="0.25">
      <c r="A15" s="203">
        <v>31</v>
      </c>
      <c r="B15" s="73" t="str">
        <f t="shared" si="0"/>
        <v>B.3.01</v>
      </c>
      <c r="C15" s="20">
        <f t="shared" si="1"/>
        <v>5</v>
      </c>
      <c r="D15" s="20"/>
      <c r="E15" s="119" t="str">
        <f t="shared" si="2"/>
        <v>B.3.01</v>
      </c>
      <c r="F15" s="140" t="str">
        <f t="shared" si="3"/>
        <v>Do you produce formal scope statements for penetration testing, supported by defined reporting requirements, prior to tests commencing?</v>
      </c>
      <c r="G15" s="118"/>
      <c r="H15" s="139"/>
      <c r="I15" s="141"/>
      <c r="J15" s="139"/>
      <c r="K15" s="139"/>
      <c r="L15" s="139"/>
      <c r="M15" s="139"/>
      <c r="N15" s="121" t="str">
        <f t="shared" ca="1" si="4"/>
        <v>x 1</v>
      </c>
      <c r="O15" s="121" t="str">
        <f t="shared" ca="1" si="5"/>
        <v/>
      </c>
      <c r="P15" s="122"/>
      <c r="Q15" s="122"/>
      <c r="R15" s="118"/>
      <c r="S15" s="118"/>
      <c r="T15" s="118"/>
      <c r="U15" s="118"/>
      <c r="V15" s="118"/>
      <c r="W15" s="118"/>
      <c r="X15" s="118"/>
      <c r="Y15" s="118"/>
      <c r="Z15" s="123"/>
      <c r="AA15" s="118">
        <v>1</v>
      </c>
      <c r="AB15" s="118"/>
      <c r="AC15" s="118"/>
      <c r="AD15" s="118"/>
      <c r="AE15" s="118"/>
      <c r="AF15" s="118"/>
      <c r="AG15" s="118"/>
      <c r="AH15" s="77">
        <v>1</v>
      </c>
      <c r="AI15" s="13"/>
    </row>
    <row r="16" spans="1:35" s="74" customFormat="1" ht="135" x14ac:dyDescent="0.25">
      <c r="A16" s="203">
        <v>32</v>
      </c>
      <c r="B16" s="73" t="str">
        <f t="shared" si="0"/>
        <v/>
      </c>
      <c r="C16" s="20">
        <f t="shared" si="1"/>
        <v>3</v>
      </c>
      <c r="D16" s="20"/>
      <c r="E16" s="119" t="str">
        <f t="shared" si="2"/>
        <v/>
      </c>
      <c r="F16" s="138" t="str">
        <f t="shared" si="3"/>
        <v>The scope of penetration tests should: be recorded in a formal document, such as a scope statement, that is signed-off by all relevant parties; include a definition of the target environment; specify resourcing requirements; define liabilities; include follow-up activities; and authorise testing to be conducted. Reporting requirements should specify the format and type of content, when the test report will be delivered, how the test report will be delivered (electronic and / or physical); and arrangements should be made to ensure that your service provider will meet your requirements in a satisfactory manner.</v>
      </c>
      <c r="G16" s="138"/>
      <c r="H16" s="138"/>
      <c r="I16" s="138"/>
      <c r="J16" s="138"/>
      <c r="K16" s="138"/>
      <c r="L16" s="138"/>
      <c r="M16" s="138"/>
      <c r="N16" s="121" t="str">
        <f t="shared" ca="1" si="4"/>
        <v/>
      </c>
      <c r="O16" s="118" t="str">
        <f t="shared" ca="1" si="5"/>
        <v/>
      </c>
      <c r="P16" s="122"/>
      <c r="Q16" s="122"/>
      <c r="R16" s="118"/>
      <c r="S16" s="118"/>
      <c r="T16" s="118"/>
      <c r="U16" s="118"/>
      <c r="V16" s="118"/>
      <c r="W16" s="118"/>
      <c r="X16" s="118"/>
      <c r="Y16" s="118"/>
      <c r="Z16" s="123"/>
      <c r="AA16" s="118"/>
      <c r="AB16" s="118"/>
      <c r="AC16" s="118"/>
      <c r="AD16" s="118"/>
      <c r="AE16" s="118"/>
      <c r="AF16" s="118"/>
      <c r="AG16" s="118"/>
      <c r="AH16" s="202">
        <v>1</v>
      </c>
      <c r="AI16" s="13"/>
    </row>
    <row r="17" spans="1:35" s="125" customFormat="1" ht="30" customHeight="1" x14ac:dyDescent="0.25">
      <c r="A17" s="134">
        <v>33</v>
      </c>
      <c r="B17" s="117" t="str">
        <f t="shared" si="0"/>
        <v>B.4</v>
      </c>
      <c r="C17" s="118">
        <f t="shared" si="1"/>
        <v>2</v>
      </c>
      <c r="D17" s="87"/>
      <c r="E17" s="142" t="str">
        <f t="shared" si="2"/>
        <v>Step 4</v>
      </c>
      <c r="F17" s="143" t="str">
        <f t="shared" si="3"/>
        <v>Establish a management assurance framework</v>
      </c>
      <c r="G17" s="143"/>
      <c r="H17" s="143"/>
      <c r="I17" s="143"/>
      <c r="J17" s="143"/>
      <c r="K17" s="143"/>
      <c r="L17" s="143"/>
      <c r="M17" s="143"/>
      <c r="N17" s="143" t="str">
        <f t="shared" ca="1" si="4"/>
        <v/>
      </c>
      <c r="O17" s="143" t="str">
        <f t="shared" ca="1" si="5"/>
        <v/>
      </c>
      <c r="P17" s="143"/>
      <c r="Q17" s="143"/>
      <c r="R17" s="143"/>
      <c r="S17" s="143"/>
      <c r="T17" s="143"/>
      <c r="U17" s="143"/>
      <c r="V17" s="143"/>
      <c r="W17" s="143"/>
      <c r="X17" s="143"/>
      <c r="Y17" s="143"/>
      <c r="Z17" s="143"/>
      <c r="AA17" s="143"/>
      <c r="AB17" s="143"/>
      <c r="AC17" s="143"/>
      <c r="AD17" s="143"/>
      <c r="AE17" s="143"/>
      <c r="AF17" s="143"/>
      <c r="AG17" s="143"/>
      <c r="AH17" s="124"/>
      <c r="AI17" s="13"/>
    </row>
    <row r="18" spans="1:35" s="125" customFormat="1" ht="75" x14ac:dyDescent="0.25">
      <c r="A18" s="137">
        <v>34</v>
      </c>
      <c r="B18" s="117" t="str">
        <f t="shared" si="0"/>
        <v>B.4.01</v>
      </c>
      <c r="C18" s="118">
        <f t="shared" si="1"/>
        <v>5</v>
      </c>
      <c r="D18" s="87"/>
      <c r="E18" s="119" t="str">
        <f t="shared" si="2"/>
        <v>B.4.01</v>
      </c>
      <c r="F18" s="140" t="str">
        <f t="shared" si="3"/>
        <v>Have you created a documented management assurance framework to help govern all aspects of the penetration test, ensuring that testing meets requirements and testing scope is documented in a comprehensive agreement, defined in a legally binding contact and signed off by all relevant parties before testing starts?</v>
      </c>
      <c r="G18" s="118"/>
      <c r="H18" s="139"/>
      <c r="I18" s="141"/>
      <c r="J18" s="139"/>
      <c r="K18" s="139"/>
      <c r="L18" s="139"/>
      <c r="M18" s="139"/>
      <c r="N18" s="121" t="str">
        <f t="shared" ca="1" si="4"/>
        <v>x 1</v>
      </c>
      <c r="O18" s="121" t="str">
        <f t="shared" ca="1" si="5"/>
        <v/>
      </c>
      <c r="P18" s="122"/>
      <c r="Q18" s="122"/>
      <c r="R18" s="118"/>
      <c r="S18" s="118"/>
      <c r="T18" s="118"/>
      <c r="U18" s="118"/>
      <c r="V18" s="118"/>
      <c r="W18" s="118"/>
      <c r="X18" s="118"/>
      <c r="Y18" s="118"/>
      <c r="Z18" s="123"/>
      <c r="AA18" s="118">
        <v>1</v>
      </c>
      <c r="AB18" s="118"/>
      <c r="AC18" s="118"/>
      <c r="AD18" s="118"/>
      <c r="AE18" s="118"/>
      <c r="AF18" s="118"/>
      <c r="AG18" s="118"/>
      <c r="AH18" s="124">
        <v>1</v>
      </c>
      <c r="AI18" s="13"/>
    </row>
    <row r="19" spans="1:35" s="125" customFormat="1" ht="105" x14ac:dyDescent="0.25">
      <c r="A19" s="137">
        <v>35</v>
      </c>
      <c r="B19" s="117" t="str">
        <f t="shared" si="0"/>
        <v/>
      </c>
      <c r="C19" s="118">
        <f t="shared" si="1"/>
        <v>3</v>
      </c>
      <c r="D19" s="87"/>
      <c r="E19" s="119" t="str">
        <f t="shared" si="2"/>
        <v/>
      </c>
      <c r="F19" s="138" t="str">
        <f t="shared" si="3"/>
        <v>The management assurance framework should provide assurance to stakeholders that: the objectives of penetration tests are achieved; contracts with service providers are defined, agreed, signed off and monitored; risks to your organisation (e.g. degradation or loss of services; disclosure of sensitive information) are kept to a minimum; changes to testing scope are managed effectively; and that any problems are resolved satisfactorily.</v>
      </c>
      <c r="G19" s="138"/>
      <c r="H19" s="138"/>
      <c r="I19" s="138"/>
      <c r="J19" s="138"/>
      <c r="K19" s="138"/>
      <c r="L19" s="138"/>
      <c r="M19" s="138"/>
      <c r="N19" s="121" t="str">
        <f t="shared" ca="1" si="4"/>
        <v/>
      </c>
      <c r="O19" s="118" t="str">
        <f t="shared" ca="1" si="5"/>
        <v/>
      </c>
      <c r="P19" s="122"/>
      <c r="Q19" s="122"/>
      <c r="R19" s="118"/>
      <c r="S19" s="118"/>
      <c r="T19" s="118"/>
      <c r="U19" s="118"/>
      <c r="V19" s="118"/>
      <c r="W19" s="118"/>
      <c r="X19" s="118"/>
      <c r="Y19" s="118"/>
      <c r="Z19" s="123"/>
      <c r="AA19" s="118"/>
      <c r="AB19" s="118"/>
      <c r="AC19" s="118"/>
      <c r="AD19" s="118"/>
      <c r="AE19" s="118"/>
      <c r="AF19" s="118"/>
      <c r="AG19" s="118"/>
      <c r="AH19" s="121">
        <v>1</v>
      </c>
      <c r="AI19" s="13"/>
    </row>
    <row r="20" spans="1:35" s="125" customFormat="1" ht="165" x14ac:dyDescent="0.25">
      <c r="A20" s="137">
        <v>36</v>
      </c>
      <c r="B20" s="117" t="str">
        <f t="shared" si="0"/>
        <v/>
      </c>
      <c r="C20" s="118">
        <f t="shared" si="1"/>
        <v>3</v>
      </c>
      <c r="D20" s="87"/>
      <c r="E20" s="119" t="str">
        <f t="shared" si="2"/>
        <v/>
      </c>
      <c r="F20" s="138" t="str">
        <f t="shared" si="3"/>
        <v>Your assurance process should help you to effectively monitor requirements definitions, planning and preparation, as well as performance of the actual testing; and define control processes over all important management aspects of testing. The penetration testing contract should specify explicit exclusions (e.g. systems that are out of scope); any technical and operational constraints; roles and responsibilities for all parties’ concerned; and specific legal / regulatory requirements; together with specific timings and checkpoints; a problem escalation process; post-test corrective action strategy and action plan development; supported by agreed pricing and terms of business.</v>
      </c>
      <c r="G20" s="138"/>
      <c r="H20" s="138"/>
      <c r="I20" s="138"/>
      <c r="J20" s="138"/>
      <c r="K20" s="138"/>
      <c r="L20" s="138"/>
      <c r="M20" s="138"/>
      <c r="N20" s="121" t="str">
        <f t="shared" ca="1" si="4"/>
        <v/>
      </c>
      <c r="O20" s="118" t="str">
        <f t="shared" ca="1" si="5"/>
        <v/>
      </c>
      <c r="P20" s="122"/>
      <c r="Q20" s="122"/>
      <c r="R20" s="118"/>
      <c r="S20" s="118"/>
      <c r="T20" s="118"/>
      <c r="U20" s="118"/>
      <c r="V20" s="118"/>
      <c r="W20" s="118"/>
      <c r="X20" s="118"/>
      <c r="Y20" s="118"/>
      <c r="Z20" s="123"/>
      <c r="AA20" s="118"/>
      <c r="AB20" s="118"/>
      <c r="AC20" s="118"/>
      <c r="AD20" s="118"/>
      <c r="AE20" s="118"/>
      <c r="AF20" s="118"/>
      <c r="AG20" s="118"/>
      <c r="AH20" s="121"/>
      <c r="AI20" s="13"/>
    </row>
    <row r="21" spans="1:35" s="125" customFormat="1" ht="30" customHeight="1" x14ac:dyDescent="0.25">
      <c r="A21" s="134">
        <v>37</v>
      </c>
      <c r="B21" s="117" t="str">
        <f t="shared" si="0"/>
        <v>B.5</v>
      </c>
      <c r="C21" s="118">
        <f t="shared" si="1"/>
        <v>2</v>
      </c>
      <c r="D21" s="87"/>
      <c r="E21" s="142" t="str">
        <f t="shared" si="2"/>
        <v>Step 5</v>
      </c>
      <c r="F21" s="143" t="str">
        <f t="shared" si="3"/>
        <v>Implement management control processes</v>
      </c>
      <c r="G21" s="143"/>
      <c r="H21" s="143"/>
      <c r="I21" s="143"/>
      <c r="J21" s="143"/>
      <c r="K21" s="143"/>
      <c r="L21" s="143"/>
      <c r="M21" s="143"/>
      <c r="N21" s="143" t="str">
        <f t="shared" ca="1" si="4"/>
        <v/>
      </c>
      <c r="O21" s="143" t="str">
        <f t="shared" ca="1" si="5"/>
        <v/>
      </c>
      <c r="P21" s="143"/>
      <c r="Q21" s="143"/>
      <c r="R21" s="143"/>
      <c r="S21" s="143"/>
      <c r="T21" s="143"/>
      <c r="U21" s="143"/>
      <c r="V21" s="143"/>
      <c r="W21" s="143"/>
      <c r="X21" s="143"/>
      <c r="Y21" s="143"/>
      <c r="Z21" s="143"/>
      <c r="AA21" s="143">
        <v>1</v>
      </c>
      <c r="AB21" s="143"/>
      <c r="AC21" s="143"/>
      <c r="AD21" s="143"/>
      <c r="AE21" s="143"/>
      <c r="AF21" s="143"/>
      <c r="AG21" s="143"/>
      <c r="AH21" s="124">
        <v>1</v>
      </c>
      <c r="AI21" s="13"/>
    </row>
    <row r="22" spans="1:35" s="125" customFormat="1" ht="30" x14ac:dyDescent="0.25">
      <c r="A22" s="137">
        <v>38</v>
      </c>
      <c r="B22" s="117" t="str">
        <f t="shared" si="0"/>
        <v>B.5.01</v>
      </c>
      <c r="C22" s="118">
        <f t="shared" si="1"/>
        <v>5</v>
      </c>
      <c r="D22" s="87"/>
      <c r="E22" s="119" t="str">
        <f t="shared" si="2"/>
        <v>B.5.01</v>
      </c>
      <c r="F22" s="140" t="str">
        <f t="shared" si="3"/>
        <v>Have you implemented effective risk, change and problem management processes that apply to all aspects of penetration testing?</v>
      </c>
      <c r="G22" s="118"/>
      <c r="H22" s="139"/>
      <c r="I22" s="141"/>
      <c r="J22" s="139"/>
      <c r="K22" s="139"/>
      <c r="L22" s="139"/>
      <c r="M22" s="139"/>
      <c r="N22" s="121" t="str">
        <f t="shared" ca="1" si="4"/>
        <v>x 1</v>
      </c>
      <c r="O22" s="121" t="str">
        <f t="shared" ca="1" si="5"/>
        <v/>
      </c>
      <c r="P22" s="122"/>
      <c r="Q22" s="122"/>
      <c r="R22" s="118"/>
      <c r="S22" s="118"/>
      <c r="T22" s="118"/>
      <c r="U22" s="118"/>
      <c r="V22" s="118"/>
      <c r="W22" s="118"/>
      <c r="X22" s="118"/>
      <c r="Y22" s="118"/>
      <c r="Z22" s="123"/>
      <c r="AA22" s="118"/>
      <c r="AB22" s="118"/>
      <c r="AC22" s="118"/>
      <c r="AD22" s="118"/>
      <c r="AE22" s="118"/>
      <c r="AF22" s="118"/>
      <c r="AG22" s="118"/>
      <c r="AH22" s="124">
        <v>1</v>
      </c>
      <c r="AI22" s="13"/>
    </row>
    <row r="23" spans="1:35" s="125" customFormat="1" ht="180" x14ac:dyDescent="0.25">
      <c r="A23" s="137">
        <v>39</v>
      </c>
      <c r="B23" s="117" t="str">
        <f t="shared" si="0"/>
        <v/>
      </c>
      <c r="C23" s="118">
        <f t="shared" si="1"/>
        <v>3</v>
      </c>
      <c r="D23" s="87"/>
      <c r="E23" s="119" t="str">
        <f t="shared" si="2"/>
        <v/>
      </c>
      <c r="F23" s="138" t="str">
        <f t="shared" si="3"/>
        <v>Methods of keeping risks to a minimum include: carrying out planning in advance; having a clear definition of scope; using predefined escalation procedures; supported by the use of individual testers with relevant experience and qualifications, working for certified organisations. An effective change management process should: cover changes to the scope of the penetration test, organisational controls and the individuals on the testing team; ensure that all parties involved adhere to the process and that changes to penetration testing are made quickly and efficiently. An effective problem management process should cover: tests not working as planned; problems caused as a result of the penetration testing; breaches of contract or codes of conduct; and effective, timely, problem resolution.</v>
      </c>
      <c r="G23" s="138"/>
      <c r="H23" s="138"/>
      <c r="I23" s="138"/>
      <c r="J23" s="138"/>
      <c r="K23" s="138"/>
      <c r="L23" s="138"/>
      <c r="M23" s="138"/>
      <c r="N23" s="121" t="str">
        <f t="shared" ca="1" si="4"/>
        <v/>
      </c>
      <c r="O23" s="118" t="str">
        <f t="shared" ca="1" si="5"/>
        <v/>
      </c>
      <c r="P23" s="122"/>
      <c r="Q23" s="122"/>
      <c r="R23" s="118"/>
      <c r="S23" s="118"/>
      <c r="T23" s="118"/>
      <c r="U23" s="118"/>
      <c r="V23" s="118"/>
      <c r="W23" s="118"/>
      <c r="X23" s="118"/>
      <c r="Y23" s="118"/>
      <c r="Z23" s="123"/>
      <c r="AA23" s="118"/>
      <c r="AB23" s="118"/>
      <c r="AC23" s="118"/>
      <c r="AD23" s="118"/>
      <c r="AE23" s="118"/>
      <c r="AF23" s="118"/>
      <c r="AG23" s="118"/>
      <c r="AH23" s="121"/>
      <c r="AI23" s="13"/>
    </row>
    <row r="24" spans="1:35" s="125" customFormat="1" ht="30" customHeight="1" x14ac:dyDescent="0.25">
      <c r="A24" s="134">
        <v>40</v>
      </c>
      <c r="B24" s="117" t="str">
        <f t="shared" si="0"/>
        <v>B.6</v>
      </c>
      <c r="C24" s="118">
        <f t="shared" si="1"/>
        <v>2</v>
      </c>
      <c r="D24" s="87"/>
      <c r="E24" s="142" t="str">
        <f t="shared" si="2"/>
        <v>Step 6</v>
      </c>
      <c r="F24" s="143" t="str">
        <f t="shared" si="3"/>
        <v>Use an effective testing methodology</v>
      </c>
      <c r="G24" s="143"/>
      <c r="H24" s="143"/>
      <c r="I24" s="143"/>
      <c r="J24" s="143"/>
      <c r="K24" s="143"/>
      <c r="L24" s="143"/>
      <c r="M24" s="143"/>
      <c r="N24" s="143" t="str">
        <f t="shared" ca="1" si="4"/>
        <v/>
      </c>
      <c r="O24" s="143" t="str">
        <f t="shared" ca="1" si="5"/>
        <v/>
      </c>
      <c r="P24" s="143"/>
      <c r="Q24" s="143"/>
      <c r="R24" s="143"/>
      <c r="S24" s="143"/>
      <c r="T24" s="143"/>
      <c r="U24" s="143"/>
      <c r="V24" s="143"/>
      <c r="W24" s="143"/>
      <c r="X24" s="143"/>
      <c r="Y24" s="143"/>
      <c r="Z24" s="143"/>
      <c r="AA24" s="143">
        <v>1</v>
      </c>
      <c r="AB24" s="143"/>
      <c r="AC24" s="143"/>
      <c r="AD24" s="143"/>
      <c r="AE24" s="143"/>
      <c r="AF24" s="143"/>
      <c r="AG24" s="143"/>
      <c r="AH24" s="124">
        <v>1</v>
      </c>
      <c r="AI24" s="13"/>
    </row>
    <row r="25" spans="1:35" s="125" customFormat="1" ht="30" x14ac:dyDescent="0.25">
      <c r="A25" s="137">
        <v>41</v>
      </c>
      <c r="B25" s="117" t="str">
        <f t="shared" si="0"/>
        <v>B.6.01</v>
      </c>
      <c r="C25" s="118">
        <f t="shared" si="1"/>
        <v>5</v>
      </c>
      <c r="D25" s="87"/>
      <c r="E25" s="119" t="str">
        <f t="shared" si="2"/>
        <v>B.6.01</v>
      </c>
      <c r="F25" s="140" t="str">
        <f t="shared" si="3"/>
        <v>When conducting penetration tests do you use a systematic, structured testing methodology?</v>
      </c>
      <c r="G25" s="118"/>
      <c r="H25" s="139"/>
      <c r="I25" s="141"/>
      <c r="J25" s="139"/>
      <c r="K25" s="139"/>
      <c r="L25" s="139"/>
      <c r="M25" s="139"/>
      <c r="N25" s="121" t="str">
        <f t="shared" ca="1" si="4"/>
        <v>x 1</v>
      </c>
      <c r="O25" s="121" t="str">
        <f t="shared" ca="1" si="5"/>
        <v/>
      </c>
      <c r="P25" s="122"/>
      <c r="Q25" s="122"/>
      <c r="R25" s="118"/>
      <c r="S25" s="118"/>
      <c r="T25" s="118"/>
      <c r="U25" s="118"/>
      <c r="V25" s="118"/>
      <c r="W25" s="118"/>
      <c r="X25" s="118"/>
      <c r="Y25" s="118"/>
      <c r="Z25" s="123"/>
      <c r="AA25" s="118"/>
      <c r="AB25" s="118"/>
      <c r="AC25" s="118"/>
      <c r="AD25" s="118"/>
      <c r="AE25" s="118"/>
      <c r="AF25" s="118"/>
      <c r="AG25" s="118"/>
      <c r="AH25" s="124">
        <v>1</v>
      </c>
      <c r="AI25" s="13"/>
    </row>
    <row r="26" spans="1:35" s="125" customFormat="1" ht="90" x14ac:dyDescent="0.25">
      <c r="A26" s="137">
        <v>42</v>
      </c>
      <c r="B26" s="117" t="str">
        <f t="shared" si="0"/>
        <v/>
      </c>
      <c r="C26" s="118">
        <f t="shared" si="1"/>
        <v>3</v>
      </c>
      <c r="D26" s="87"/>
      <c r="E26" s="119" t="str">
        <f t="shared" si="2"/>
        <v/>
      </c>
      <c r="F26" s="138" t="str">
        <f t="shared" si="3"/>
        <v>A systematic, structured testing methodology should: be based on proven approaches designed by authoritative publicly available sources; detail specific evaluation or testing criteria; adhere to a standard common language and scope for performing penetration testing; and specify a required approach (or approaches) for carrying out all stages of a comprehensive end-to-end penetration test.</v>
      </c>
      <c r="G26" s="138"/>
      <c r="H26" s="138"/>
      <c r="I26" s="138"/>
      <c r="J26" s="138"/>
      <c r="K26" s="138"/>
      <c r="L26" s="138"/>
      <c r="M26" s="138"/>
      <c r="N26" s="121" t="str">
        <f t="shared" ca="1" si="4"/>
        <v/>
      </c>
      <c r="O26" s="118" t="str">
        <f t="shared" ca="1" si="5"/>
        <v/>
      </c>
      <c r="P26" s="122"/>
      <c r="Q26" s="122"/>
      <c r="R26" s="118"/>
      <c r="S26" s="118"/>
      <c r="T26" s="118"/>
      <c r="U26" s="118"/>
      <c r="V26" s="118"/>
      <c r="W26" s="118"/>
      <c r="X26" s="118"/>
      <c r="Y26" s="118"/>
      <c r="Z26" s="123"/>
      <c r="AA26" s="118"/>
      <c r="AB26" s="118"/>
      <c r="AC26" s="118"/>
      <c r="AD26" s="118"/>
      <c r="AE26" s="118"/>
      <c r="AF26" s="118"/>
      <c r="AG26" s="118"/>
      <c r="AH26" s="121"/>
      <c r="AI26" s="13"/>
    </row>
    <row r="27" spans="1:35" s="125" customFormat="1" ht="30" customHeight="1" x14ac:dyDescent="0.25">
      <c r="A27" s="134">
        <v>43</v>
      </c>
      <c r="B27" s="117" t="str">
        <f t="shared" si="0"/>
        <v>B.7</v>
      </c>
      <c r="C27" s="118">
        <f t="shared" si="1"/>
        <v>2</v>
      </c>
      <c r="D27" s="87"/>
      <c r="E27" s="142" t="str">
        <f t="shared" si="2"/>
        <v>Step 7</v>
      </c>
      <c r="F27" s="143" t="str">
        <f t="shared" si="3"/>
        <v>Conduct sufficient research and planning</v>
      </c>
      <c r="G27" s="143"/>
      <c r="H27" s="143"/>
      <c r="I27" s="143"/>
      <c r="J27" s="143"/>
      <c r="K27" s="143"/>
      <c r="L27" s="143"/>
      <c r="M27" s="143"/>
      <c r="N27" s="143" t="str">
        <f t="shared" ca="1" si="4"/>
        <v/>
      </c>
      <c r="O27" s="143" t="str">
        <f t="shared" ca="1" si="5"/>
        <v/>
      </c>
      <c r="P27" s="143"/>
      <c r="Q27" s="143"/>
      <c r="R27" s="143"/>
      <c r="S27" s="143"/>
      <c r="T27" s="143"/>
      <c r="U27" s="143"/>
      <c r="V27" s="143"/>
      <c r="W27" s="143"/>
      <c r="X27" s="143"/>
      <c r="Y27" s="143"/>
      <c r="Z27" s="143"/>
      <c r="AA27" s="143">
        <v>1</v>
      </c>
      <c r="AB27" s="143"/>
      <c r="AC27" s="143"/>
      <c r="AD27" s="143"/>
      <c r="AE27" s="143"/>
      <c r="AF27" s="143"/>
      <c r="AG27" s="143"/>
      <c r="AH27" s="124">
        <v>1</v>
      </c>
      <c r="AI27" s="13"/>
    </row>
    <row r="28" spans="1:35" s="125" customFormat="1" ht="60" x14ac:dyDescent="0.25">
      <c r="A28" s="137">
        <v>44</v>
      </c>
      <c r="B28" s="117" t="str">
        <f t="shared" si="0"/>
        <v>B.7.01</v>
      </c>
      <c r="C28" s="118">
        <f t="shared" si="1"/>
        <v>5</v>
      </c>
      <c r="D28" s="87"/>
      <c r="E28" s="119" t="str">
        <f t="shared" si="2"/>
        <v>B.7.01</v>
      </c>
      <c r="F28" s="140" t="str">
        <f t="shared" si="3"/>
        <v>Are detailed test plans produced to provide guidelines for the penetration testing to be undertaken, supported by research to imitate the research activities that a potential attacker could undertake to find out as much about the target environment and how it works as possible?</v>
      </c>
      <c r="G28" s="118"/>
      <c r="H28" s="139"/>
      <c r="I28" s="141"/>
      <c r="J28" s="139"/>
      <c r="K28" s="139"/>
      <c r="L28" s="139"/>
      <c r="M28" s="139"/>
      <c r="N28" s="121" t="str">
        <f t="shared" ca="1" si="4"/>
        <v>x 1</v>
      </c>
      <c r="O28" s="121" t="str">
        <f t="shared" ca="1" si="5"/>
        <v/>
      </c>
      <c r="P28" s="122"/>
      <c r="Q28" s="122"/>
      <c r="R28" s="118"/>
      <c r="S28" s="118"/>
      <c r="T28" s="118"/>
      <c r="U28" s="118"/>
      <c r="V28" s="118"/>
      <c r="W28" s="118"/>
      <c r="X28" s="118"/>
      <c r="Y28" s="118"/>
      <c r="Z28" s="123"/>
      <c r="AA28" s="118"/>
      <c r="AB28" s="118"/>
      <c r="AC28" s="118"/>
      <c r="AD28" s="118"/>
      <c r="AE28" s="118"/>
      <c r="AF28" s="118"/>
      <c r="AG28" s="118"/>
      <c r="AH28" s="124">
        <v>1</v>
      </c>
      <c r="AI28" s="13"/>
    </row>
    <row r="29" spans="1:35" s="125" customFormat="1" ht="75" x14ac:dyDescent="0.25">
      <c r="A29" s="137">
        <v>45</v>
      </c>
      <c r="B29" s="117" t="str">
        <f t="shared" si="0"/>
        <v/>
      </c>
      <c r="C29" s="118">
        <f t="shared" si="1"/>
        <v>3</v>
      </c>
      <c r="D29" s="87"/>
      <c r="E29" s="119" t="str">
        <f t="shared" si="2"/>
        <v/>
      </c>
      <c r="F29" s="138" t="str">
        <f t="shared" si="3"/>
        <v>Detailed test plans should be produced by your testing service provider; agreed with your organisation prior to any testing commencing; specify what will actually be done during the test itself; and help to assure the process for a proper security test without creating misunderstandings, misconceptions, or false expectations.</v>
      </c>
      <c r="G29" s="138"/>
      <c r="H29" s="138"/>
      <c r="I29" s="138"/>
      <c r="J29" s="138"/>
      <c r="K29" s="138"/>
      <c r="L29" s="138"/>
      <c r="M29" s="138"/>
      <c r="N29" s="121" t="str">
        <f t="shared" ca="1" si="4"/>
        <v/>
      </c>
      <c r="O29" s="118" t="str">
        <f t="shared" ca="1" si="5"/>
        <v/>
      </c>
      <c r="P29" s="122"/>
      <c r="Q29" s="122"/>
      <c r="R29" s="118"/>
      <c r="S29" s="118"/>
      <c r="T29" s="118"/>
      <c r="U29" s="118"/>
      <c r="V29" s="118"/>
      <c r="W29" s="118"/>
      <c r="X29" s="118"/>
      <c r="Y29" s="118"/>
      <c r="Z29" s="123"/>
      <c r="AA29" s="118"/>
      <c r="AB29" s="118"/>
      <c r="AC29" s="118"/>
      <c r="AD29" s="118"/>
      <c r="AE29" s="118"/>
      <c r="AF29" s="118"/>
      <c r="AG29" s="118"/>
      <c r="AH29" s="121">
        <v>1</v>
      </c>
      <c r="AI29" s="13"/>
    </row>
    <row r="30" spans="1:35" s="125" customFormat="1" ht="30" customHeight="1" x14ac:dyDescent="0.25">
      <c r="A30" s="134">
        <v>46</v>
      </c>
      <c r="B30" s="117" t="str">
        <f t="shared" si="0"/>
        <v>B.8</v>
      </c>
      <c r="C30" s="118">
        <f t="shared" si="1"/>
        <v>2</v>
      </c>
      <c r="D30" s="87"/>
      <c r="E30" s="142" t="str">
        <f t="shared" si="2"/>
        <v>Step 8</v>
      </c>
      <c r="F30" s="143" t="str">
        <f t="shared" si="3"/>
        <v>Identify and exploit vulnerabilities</v>
      </c>
      <c r="G30" s="143"/>
      <c r="H30" s="143"/>
      <c r="I30" s="143"/>
      <c r="J30" s="143"/>
      <c r="K30" s="143"/>
      <c r="L30" s="143"/>
      <c r="M30" s="143"/>
      <c r="N30" s="143" t="str">
        <f t="shared" ca="1" si="4"/>
        <v/>
      </c>
      <c r="O30" s="143" t="str">
        <f t="shared" ca="1" si="5"/>
        <v/>
      </c>
      <c r="P30" s="143"/>
      <c r="Q30" s="143"/>
      <c r="R30" s="143"/>
      <c r="S30" s="143"/>
      <c r="T30" s="143"/>
      <c r="U30" s="143"/>
      <c r="V30" s="143"/>
      <c r="W30" s="143"/>
      <c r="X30" s="143"/>
      <c r="Y30" s="143"/>
      <c r="Z30" s="143"/>
      <c r="AA30" s="143"/>
      <c r="AB30" s="143"/>
      <c r="AC30" s="143"/>
      <c r="AD30" s="143"/>
      <c r="AE30" s="143"/>
      <c r="AF30" s="143"/>
      <c r="AG30" s="143"/>
      <c r="AH30" s="124">
        <v>1</v>
      </c>
      <c r="AI30" s="13"/>
    </row>
    <row r="31" spans="1:35" s="125" customFormat="1" ht="45" x14ac:dyDescent="0.25">
      <c r="A31" s="137">
        <v>47</v>
      </c>
      <c r="B31" s="117" t="str">
        <f t="shared" si="0"/>
        <v>B.8.01</v>
      </c>
      <c r="C31" s="118">
        <f t="shared" si="1"/>
        <v>5</v>
      </c>
      <c r="D31" s="87"/>
      <c r="E31" s="119" t="str">
        <f t="shared" si="2"/>
        <v>B.8.01</v>
      </c>
      <c r="F31" s="140" t="str">
        <f t="shared" si="3"/>
        <v>Does penetration testing include testers identifying a range of potential vulnerabilities in target systems, then trying to exploit the vulnerabilities identified and actually penetrate the target system?</v>
      </c>
      <c r="G31" s="118"/>
      <c r="H31" s="139"/>
      <c r="I31" s="141"/>
      <c r="J31" s="139"/>
      <c r="K31" s="139"/>
      <c r="L31" s="139"/>
      <c r="M31" s="139"/>
      <c r="N31" s="121" t="str">
        <f t="shared" ca="1" si="4"/>
        <v>x 1</v>
      </c>
      <c r="O31" s="121" t="str">
        <f t="shared" ca="1" si="5"/>
        <v/>
      </c>
      <c r="P31" s="122"/>
      <c r="Q31" s="122"/>
      <c r="R31" s="118"/>
      <c r="S31" s="118"/>
      <c r="T31" s="118"/>
      <c r="U31" s="118"/>
      <c r="V31" s="118"/>
      <c r="W31" s="118"/>
      <c r="X31" s="118"/>
      <c r="Y31" s="118"/>
      <c r="Z31" s="123"/>
      <c r="AA31" s="118"/>
      <c r="AB31" s="118"/>
      <c r="AC31" s="118"/>
      <c r="AD31" s="118"/>
      <c r="AE31" s="118"/>
      <c r="AF31" s="118"/>
      <c r="AG31" s="118"/>
      <c r="AH31" s="124">
        <v>1</v>
      </c>
      <c r="AI31" s="13"/>
    </row>
    <row r="32" spans="1:35" s="125" customFormat="1" ht="105" x14ac:dyDescent="0.25">
      <c r="A32" s="137">
        <v>48</v>
      </c>
      <c r="B32" s="117" t="str">
        <f t="shared" si="0"/>
        <v/>
      </c>
      <c r="C32" s="118">
        <f t="shared" si="1"/>
        <v>3</v>
      </c>
      <c r="D32" s="87"/>
      <c r="E32" s="119" t="str">
        <f t="shared" si="2"/>
        <v/>
      </c>
      <c r="F32" s="138" t="str">
        <f t="shared" si="3"/>
        <v>Vulnerability identification and exploitation typically include testers examining: Attack avenues, vectors and threat agents; results from threat analysis; technical system / network / application vulnerabilities; and control weaknesses - supported by a range of techniques (e.g. exploit techniques; escalation techniques; advancement techniques; and analysis techniques) to try and take advantage of specific weaknesses.</v>
      </c>
      <c r="G32" s="138"/>
      <c r="H32" s="138"/>
      <c r="I32" s="138"/>
      <c r="J32" s="138"/>
      <c r="K32" s="138"/>
      <c r="L32" s="138"/>
      <c r="M32" s="138"/>
      <c r="N32" s="121" t="str">
        <f t="shared" ca="1" si="4"/>
        <v/>
      </c>
      <c r="O32" s="118" t="str">
        <f t="shared" ca="1" si="5"/>
        <v/>
      </c>
      <c r="P32" s="122"/>
      <c r="Q32" s="122"/>
      <c r="R32" s="118"/>
      <c r="S32" s="118"/>
      <c r="T32" s="118"/>
      <c r="U32" s="118"/>
      <c r="V32" s="118"/>
      <c r="W32" s="118"/>
      <c r="X32" s="118"/>
      <c r="Y32" s="118"/>
      <c r="Z32" s="123"/>
      <c r="AA32" s="118"/>
      <c r="AB32" s="118"/>
      <c r="AC32" s="118"/>
      <c r="AD32" s="118"/>
      <c r="AE32" s="118"/>
      <c r="AF32" s="118"/>
      <c r="AG32" s="118"/>
      <c r="AH32" s="121">
        <v>1</v>
      </c>
      <c r="AI32" s="13"/>
    </row>
    <row r="33" spans="1:35" s="125" customFormat="1" ht="30" customHeight="1" x14ac:dyDescent="0.25">
      <c r="A33" s="134">
        <v>49</v>
      </c>
      <c r="B33" s="117" t="str">
        <f t="shared" si="0"/>
        <v>B.9</v>
      </c>
      <c r="C33" s="118">
        <f t="shared" si="1"/>
        <v>2</v>
      </c>
      <c r="D33" s="87"/>
      <c r="E33" s="142" t="str">
        <f t="shared" si="2"/>
        <v>Step 9</v>
      </c>
      <c r="F33" s="143" t="str">
        <f t="shared" si="3"/>
        <v>Report key findings</v>
      </c>
      <c r="G33" s="143"/>
      <c r="H33" s="143"/>
      <c r="I33" s="143"/>
      <c r="J33" s="143"/>
      <c r="K33" s="143"/>
      <c r="L33" s="143"/>
      <c r="M33" s="143"/>
      <c r="N33" s="143" t="str">
        <f t="shared" ca="1" si="4"/>
        <v/>
      </c>
      <c r="O33" s="143" t="str">
        <f t="shared" ca="1" si="5"/>
        <v/>
      </c>
      <c r="P33" s="143"/>
      <c r="Q33" s="143"/>
      <c r="R33" s="143"/>
      <c r="S33" s="143"/>
      <c r="T33" s="143"/>
      <c r="U33" s="143"/>
      <c r="V33" s="143"/>
      <c r="W33" s="143"/>
      <c r="X33" s="143"/>
      <c r="Y33" s="143"/>
      <c r="Z33" s="143"/>
      <c r="AA33" s="143"/>
      <c r="AB33" s="143"/>
      <c r="AC33" s="143"/>
      <c r="AD33" s="143"/>
      <c r="AE33" s="143"/>
      <c r="AF33" s="143"/>
      <c r="AG33" s="143"/>
      <c r="AH33" s="124">
        <v>1</v>
      </c>
      <c r="AI33" s="13"/>
    </row>
    <row r="34" spans="1:35" s="125" customFormat="1" ht="30" x14ac:dyDescent="0.25">
      <c r="A34" s="137">
        <v>50</v>
      </c>
      <c r="B34" s="117" t="str">
        <f t="shared" si="0"/>
        <v>B.9.01</v>
      </c>
      <c r="C34" s="118">
        <f t="shared" si="1"/>
        <v>5</v>
      </c>
      <c r="D34" s="87"/>
      <c r="E34" s="119" t="str">
        <f t="shared" si="2"/>
        <v>B.9.01</v>
      </c>
      <c r="F34" s="140" t="str">
        <f t="shared" si="3"/>
        <v>Are findings identified during the penetration test reported to your organisation?</v>
      </c>
      <c r="G34" s="118"/>
      <c r="H34" s="139"/>
      <c r="I34" s="141"/>
      <c r="J34" s="139"/>
      <c r="K34" s="139"/>
      <c r="L34" s="139"/>
      <c r="M34" s="139"/>
      <c r="N34" s="121" t="str">
        <f t="shared" ca="1" si="4"/>
        <v>x 1</v>
      </c>
      <c r="O34" s="121" t="str">
        <f t="shared" ca="1" si="5"/>
        <v/>
      </c>
      <c r="P34" s="122"/>
      <c r="Q34" s="122"/>
      <c r="R34" s="118"/>
      <c r="S34" s="118"/>
      <c r="T34" s="118"/>
      <c r="U34" s="118"/>
      <c r="V34" s="118"/>
      <c r="W34" s="118"/>
      <c r="X34" s="118"/>
      <c r="Y34" s="118"/>
      <c r="Z34" s="123"/>
      <c r="AA34" s="118"/>
      <c r="AB34" s="118"/>
      <c r="AC34" s="118"/>
      <c r="AD34" s="118"/>
      <c r="AE34" s="118"/>
      <c r="AF34" s="118"/>
      <c r="AG34" s="118"/>
      <c r="AH34" s="124">
        <v>1</v>
      </c>
      <c r="AI34" s="13"/>
    </row>
    <row r="35" spans="1:35" s="125" customFormat="1" ht="75" x14ac:dyDescent="0.25">
      <c r="A35" s="137">
        <v>51</v>
      </c>
      <c r="B35" s="117" t="str">
        <f t="shared" si="0"/>
        <v/>
      </c>
      <c r="C35" s="118">
        <f t="shared" si="1"/>
        <v>3</v>
      </c>
      <c r="D35" s="87"/>
      <c r="E35" s="119" t="str">
        <f t="shared" si="2"/>
        <v/>
      </c>
      <c r="F35" s="138" t="str">
        <f t="shared" si="3"/>
        <v>Findings should be formally presented to your organisation by suppliers, who should provide details about: how testers found the vulnerabilities; what could be the outcome of each vulnerability; the level of risk to the business for each vulnerability; and advice on how to remediate each vulnerability.</v>
      </c>
      <c r="G35" s="138"/>
      <c r="H35" s="138"/>
      <c r="I35" s="138"/>
      <c r="J35" s="138"/>
      <c r="K35" s="138"/>
      <c r="L35" s="138"/>
      <c r="M35" s="138"/>
      <c r="N35" s="121" t="str">
        <f t="shared" ca="1" si="4"/>
        <v/>
      </c>
      <c r="O35" s="118" t="str">
        <f t="shared" ca="1" si="5"/>
        <v/>
      </c>
      <c r="P35" s="122"/>
      <c r="Q35" s="122"/>
      <c r="R35" s="118"/>
      <c r="S35" s="118"/>
      <c r="T35" s="118"/>
      <c r="U35" s="118"/>
      <c r="V35" s="118"/>
      <c r="W35" s="118"/>
      <c r="X35" s="118"/>
      <c r="Y35" s="118"/>
      <c r="Z35" s="123"/>
      <c r="AA35" s="118"/>
      <c r="AB35" s="118"/>
      <c r="AC35" s="118"/>
      <c r="AD35" s="118"/>
      <c r="AE35" s="118"/>
      <c r="AF35" s="118"/>
      <c r="AG35" s="118"/>
      <c r="AH35" s="121">
        <v>1</v>
      </c>
      <c r="AI35" s="13"/>
    </row>
  </sheetData>
  <sheetProtection algorithmName="SHA-512" hashValue="iv5MeHNMCy6T1GQfas6GXud6ol+0CASz+SoAtF4wmj7I2n5dNEbLxqwc9Laz9zsT4G5H0k8LoOpJyPRuFbcFWQ==" saltValue="CKNJc32FjktDIqnLsnoaYA==" spinCount="100000" sheet="1" objects="1" scenarios="1"/>
  <sortState xmlns:xlrd2="http://schemas.microsoft.com/office/spreadsheetml/2017/richdata2" ref="A8:DI35">
    <sortCondition ref="A8:A35"/>
  </sortState>
  <dataConsolidate/>
  <mergeCells count="1">
    <mergeCell ref="F2:F5"/>
  </mergeCells>
  <pageMargins left="0.7" right="0.7" top="0.75" bottom="0.75" header="0.3" footer="0.3"/>
  <pageSetup paperSize="9" scale="3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6129" r:id="rId4" name="Drop Down 1">
              <controlPr locked="0" defaultSize="0" autoFill="0" autoPict="0">
                <anchor moveWithCells="1">
                  <from>
                    <xdr:col>6</xdr:col>
                    <xdr:colOff>400050</xdr:colOff>
                    <xdr:row>8</xdr:row>
                    <xdr:rowOff>76200</xdr:rowOff>
                  </from>
                  <to>
                    <xdr:col>6</xdr:col>
                    <xdr:colOff>1638300</xdr:colOff>
                    <xdr:row>8</xdr:row>
                    <xdr:rowOff>304800</xdr:rowOff>
                  </to>
                </anchor>
              </controlPr>
            </control>
          </mc:Choice>
        </mc:AlternateContent>
        <mc:AlternateContent xmlns:mc="http://schemas.openxmlformats.org/markup-compatibility/2006">
          <mc:Choice Requires="x14">
            <control shapeId="176136" r:id="rId5" name="Drop Down 8">
              <controlPr locked="0" defaultSize="0" autoFill="0" autoPict="0">
                <anchor moveWithCells="1">
                  <from>
                    <xdr:col>6</xdr:col>
                    <xdr:colOff>400050</xdr:colOff>
                    <xdr:row>11</xdr:row>
                    <xdr:rowOff>76200</xdr:rowOff>
                  </from>
                  <to>
                    <xdr:col>6</xdr:col>
                    <xdr:colOff>1638300</xdr:colOff>
                    <xdr:row>11</xdr:row>
                    <xdr:rowOff>304800</xdr:rowOff>
                  </to>
                </anchor>
              </controlPr>
            </control>
          </mc:Choice>
        </mc:AlternateContent>
        <mc:AlternateContent xmlns:mc="http://schemas.openxmlformats.org/markup-compatibility/2006">
          <mc:Choice Requires="x14">
            <control shapeId="176137" r:id="rId6" name="Drop Down 9">
              <controlPr locked="0" defaultSize="0" autoFill="0" autoPict="0">
                <anchor moveWithCells="1">
                  <from>
                    <xdr:col>6</xdr:col>
                    <xdr:colOff>400050</xdr:colOff>
                    <xdr:row>14</xdr:row>
                    <xdr:rowOff>76200</xdr:rowOff>
                  </from>
                  <to>
                    <xdr:col>6</xdr:col>
                    <xdr:colOff>1638300</xdr:colOff>
                    <xdr:row>14</xdr:row>
                    <xdr:rowOff>304800</xdr:rowOff>
                  </to>
                </anchor>
              </controlPr>
            </control>
          </mc:Choice>
        </mc:AlternateContent>
        <mc:AlternateContent xmlns:mc="http://schemas.openxmlformats.org/markup-compatibility/2006">
          <mc:Choice Requires="x14">
            <control shapeId="176138" r:id="rId7" name="Drop Down 10">
              <controlPr locked="0" defaultSize="0" autoFill="0" autoPict="0">
                <anchor moveWithCells="1">
                  <from>
                    <xdr:col>6</xdr:col>
                    <xdr:colOff>400050</xdr:colOff>
                    <xdr:row>17</xdr:row>
                    <xdr:rowOff>76200</xdr:rowOff>
                  </from>
                  <to>
                    <xdr:col>6</xdr:col>
                    <xdr:colOff>1638300</xdr:colOff>
                    <xdr:row>17</xdr:row>
                    <xdr:rowOff>304800</xdr:rowOff>
                  </to>
                </anchor>
              </controlPr>
            </control>
          </mc:Choice>
        </mc:AlternateContent>
        <mc:AlternateContent xmlns:mc="http://schemas.openxmlformats.org/markup-compatibility/2006">
          <mc:Choice Requires="x14">
            <control shapeId="176139" r:id="rId8" name="Drop Down 11">
              <controlPr locked="0" defaultSize="0" autoFill="0" autoPict="0">
                <anchor moveWithCells="1">
                  <from>
                    <xdr:col>6</xdr:col>
                    <xdr:colOff>400050</xdr:colOff>
                    <xdr:row>21</xdr:row>
                    <xdr:rowOff>76200</xdr:rowOff>
                  </from>
                  <to>
                    <xdr:col>6</xdr:col>
                    <xdr:colOff>1638300</xdr:colOff>
                    <xdr:row>21</xdr:row>
                    <xdr:rowOff>304800</xdr:rowOff>
                  </to>
                </anchor>
              </controlPr>
            </control>
          </mc:Choice>
        </mc:AlternateContent>
        <mc:AlternateContent xmlns:mc="http://schemas.openxmlformats.org/markup-compatibility/2006">
          <mc:Choice Requires="x14">
            <control shapeId="176140" r:id="rId9" name="Drop Down 12">
              <controlPr locked="0" defaultSize="0" autoFill="0" autoPict="0">
                <anchor moveWithCells="1">
                  <from>
                    <xdr:col>6</xdr:col>
                    <xdr:colOff>400050</xdr:colOff>
                    <xdr:row>24</xdr:row>
                    <xdr:rowOff>76200</xdr:rowOff>
                  </from>
                  <to>
                    <xdr:col>6</xdr:col>
                    <xdr:colOff>1638300</xdr:colOff>
                    <xdr:row>24</xdr:row>
                    <xdr:rowOff>304800</xdr:rowOff>
                  </to>
                </anchor>
              </controlPr>
            </control>
          </mc:Choice>
        </mc:AlternateContent>
        <mc:AlternateContent xmlns:mc="http://schemas.openxmlformats.org/markup-compatibility/2006">
          <mc:Choice Requires="x14">
            <control shapeId="176141" r:id="rId10" name="Drop Down 13">
              <controlPr locked="0" defaultSize="0" autoFill="0" autoPict="0">
                <anchor moveWithCells="1">
                  <from>
                    <xdr:col>6</xdr:col>
                    <xdr:colOff>400050</xdr:colOff>
                    <xdr:row>27</xdr:row>
                    <xdr:rowOff>76200</xdr:rowOff>
                  </from>
                  <to>
                    <xdr:col>6</xdr:col>
                    <xdr:colOff>1638300</xdr:colOff>
                    <xdr:row>27</xdr:row>
                    <xdr:rowOff>304800</xdr:rowOff>
                  </to>
                </anchor>
              </controlPr>
            </control>
          </mc:Choice>
        </mc:AlternateContent>
        <mc:AlternateContent xmlns:mc="http://schemas.openxmlformats.org/markup-compatibility/2006">
          <mc:Choice Requires="x14">
            <control shapeId="176142" r:id="rId11" name="Drop Down 14">
              <controlPr locked="0" defaultSize="0" autoFill="0" autoPict="0">
                <anchor moveWithCells="1">
                  <from>
                    <xdr:col>6</xdr:col>
                    <xdr:colOff>400050</xdr:colOff>
                    <xdr:row>30</xdr:row>
                    <xdr:rowOff>76200</xdr:rowOff>
                  </from>
                  <to>
                    <xdr:col>6</xdr:col>
                    <xdr:colOff>1638300</xdr:colOff>
                    <xdr:row>30</xdr:row>
                    <xdr:rowOff>304800</xdr:rowOff>
                  </to>
                </anchor>
              </controlPr>
            </control>
          </mc:Choice>
        </mc:AlternateContent>
        <mc:AlternateContent xmlns:mc="http://schemas.openxmlformats.org/markup-compatibility/2006">
          <mc:Choice Requires="x14">
            <control shapeId="176143" r:id="rId12" name="Drop Down 15">
              <controlPr locked="0" defaultSize="0" autoFill="0" autoPict="0">
                <anchor moveWithCells="1">
                  <from>
                    <xdr:col>6</xdr:col>
                    <xdr:colOff>400050</xdr:colOff>
                    <xdr:row>33</xdr:row>
                    <xdr:rowOff>76200</xdr:rowOff>
                  </from>
                  <to>
                    <xdr:col>6</xdr:col>
                    <xdr:colOff>1638300</xdr:colOff>
                    <xdr:row>33</xdr:row>
                    <xdr:rowOff>304800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FF0000"/>
    <pageSetUpPr autoPageBreaks="0" fitToPage="1"/>
  </sheetPr>
  <dimension ref="A2:AI25"/>
  <sheetViews>
    <sheetView showGridLines="0" showRowColHeaders="0" zoomScaleNormal="100" workbookViewId="0">
      <pane ySplit="7" topLeftCell="A8" activePane="bottomLeft" state="frozen"/>
      <selection pane="bottomLeft" activeCell="E9" sqref="E9"/>
    </sheetView>
  </sheetViews>
  <sheetFormatPr defaultColWidth="9.140625" defaultRowHeight="15" x14ac:dyDescent="0.25"/>
  <cols>
    <col min="1" max="1" width="9.28515625" style="21" hidden="1" customWidth="1"/>
    <col min="2" max="3" width="8.85546875" style="21" hidden="1" customWidth="1"/>
    <col min="4" max="4" width="6.28515625" style="135" customWidth="1"/>
    <col min="5" max="5" width="15.5703125" style="21" customWidth="1"/>
    <col min="6" max="6" width="67.42578125" style="21" customWidth="1"/>
    <col min="7" max="7" width="29.7109375" style="135" customWidth="1"/>
    <col min="8" max="8" width="7.7109375" style="135" hidden="1" customWidth="1"/>
    <col min="9" max="9" width="9.7109375" style="135" hidden="1" customWidth="1"/>
    <col min="10" max="13" width="7.7109375" style="135" hidden="1" customWidth="1"/>
    <col min="14" max="14" width="13.140625" style="21" hidden="1" customWidth="1"/>
    <col min="15" max="15" width="13.140625" style="21" customWidth="1"/>
    <col min="16" max="16" width="28.42578125" style="21" customWidth="1"/>
    <col min="17" max="17" width="41.7109375" style="21" customWidth="1"/>
    <col min="18" max="26" width="9.140625" style="21" customWidth="1"/>
    <col min="27" max="27" width="9.140625" style="21" hidden="1" customWidth="1"/>
    <col min="28" max="33" width="9.140625" style="21" customWidth="1"/>
    <col min="34" max="34" width="9.140625" style="78" hidden="1" customWidth="1"/>
    <col min="35" max="35" width="9.140625" style="13" customWidth="1"/>
    <col min="36" max="39" width="9.140625" style="21" customWidth="1"/>
    <col min="40" max="16384" width="9.140625" style="21"/>
  </cols>
  <sheetData>
    <row r="2" spans="1:35" s="53" customFormat="1" ht="15" customHeight="1" x14ac:dyDescent="0.25">
      <c r="A2" s="50"/>
      <c r="B2" s="21"/>
      <c r="C2" s="21"/>
      <c r="D2" s="135"/>
      <c r="E2" s="21"/>
      <c r="F2" s="313" t="str">
        <f ca="1">"Maturity model for Stage "&amp;LEFT(B8,1)&amp;" - "&amp;VLOOKUP(A8-1,Contents_Text,7,FALSE)</f>
        <v>Maturity model for Stage C - Follow up</v>
      </c>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78"/>
      <c r="AI2" s="13"/>
    </row>
    <row r="3" spans="1:35" s="53" customFormat="1" ht="15" customHeight="1" x14ac:dyDescent="0.25">
      <c r="A3" s="21"/>
      <c r="B3" s="21"/>
      <c r="C3" s="21"/>
      <c r="D3" s="135"/>
      <c r="E3" s="21"/>
      <c r="F3" s="313"/>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78"/>
      <c r="AI3" s="13"/>
    </row>
    <row r="4" spans="1:35" s="53" customFormat="1" ht="15" customHeight="1" x14ac:dyDescent="0.25">
      <c r="A4" s="21"/>
      <c r="B4" s="21"/>
      <c r="C4" s="21"/>
      <c r="D4" s="135"/>
      <c r="E4" s="21"/>
      <c r="F4" s="313"/>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78"/>
      <c r="AI4" s="13"/>
    </row>
    <row r="5" spans="1:35" s="53" customFormat="1" ht="15" customHeight="1" x14ac:dyDescent="0.25">
      <c r="A5" s="21"/>
      <c r="B5" s="21"/>
      <c r="C5" s="21"/>
      <c r="D5" s="135"/>
      <c r="E5" s="21"/>
      <c r="F5" s="313"/>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78"/>
      <c r="AI5" s="13"/>
    </row>
    <row r="6" spans="1:35" ht="11.25" customHeight="1" x14ac:dyDescent="0.25"/>
    <row r="7" spans="1:35" ht="36" customHeight="1" thickBot="1" x14ac:dyDescent="0.35">
      <c r="F7" s="54"/>
      <c r="G7" s="180" t="s">
        <v>47</v>
      </c>
      <c r="H7" s="180"/>
      <c r="I7" s="180"/>
      <c r="J7" s="180"/>
      <c r="K7" s="180"/>
      <c r="L7" s="180"/>
      <c r="M7" s="180"/>
      <c r="N7" s="55" t="s">
        <v>8</v>
      </c>
      <c r="O7" s="56" t="s">
        <v>194</v>
      </c>
      <c r="P7" s="57" t="s">
        <v>48</v>
      </c>
      <c r="Q7" s="57" t="s">
        <v>0</v>
      </c>
      <c r="AH7" s="204" t="s">
        <v>132</v>
      </c>
    </row>
    <row r="8" spans="1:35" s="74" customFormat="1" ht="30" customHeight="1" x14ac:dyDescent="0.25">
      <c r="A8" s="72">
        <v>53</v>
      </c>
      <c r="B8" s="73" t="str">
        <f t="shared" ref="B8:B25" si="0">VLOOKUP(A8,contentrefmockup,2,FALSE)</f>
        <v>C.1</v>
      </c>
      <c r="C8" s="20">
        <f t="shared" ref="C8:C25" si="1">VLOOKUP(A8,contentrefmockup,15,FALSE)</f>
        <v>2</v>
      </c>
      <c r="D8" s="20"/>
      <c r="E8" s="142" t="str">
        <f t="shared" ref="E8:E25" si="2">IF(C8=1,"Phase "&amp;B8,IF(C8=2,"Step "&amp;VLOOKUP(A8,contentrefmockup,4,FALSE),B8))</f>
        <v>Step 1</v>
      </c>
      <c r="F8" s="143" t="str">
        <f t="shared" ref="F8:F25" si="3">VLOOKUP(A8,contentrefmockup,7,FALSE)</f>
        <v>Remediate weaknesses</v>
      </c>
      <c r="G8" s="143"/>
      <c r="H8" s="143"/>
      <c r="I8" s="143"/>
      <c r="J8" s="143"/>
      <c r="K8" s="143"/>
      <c r="L8" s="143"/>
      <c r="M8" s="143"/>
      <c r="N8" s="143" t="str">
        <f t="shared" ref="N8:N25" ca="1" si="4">IFERROR(IF(VLOOKUP(A8,Weightings_Assessments,25,FALSE)=0,"",VLOOKUP(A8,Weightings_Assessments,25,FALSE)),"")</f>
        <v/>
      </c>
      <c r="O8" s="143" t="str">
        <f t="shared" ref="O8:O25" ca="1" si="5">IFERROR(VLOOKUP(AH8,detail_maturity_score,3,FALSE)*VLOOKUP(A8,Weightings_Assessments,23,FALSE),"")</f>
        <v/>
      </c>
      <c r="P8" s="143"/>
      <c r="Q8" s="143"/>
      <c r="R8" s="143"/>
      <c r="S8" s="143"/>
      <c r="T8" s="143"/>
      <c r="U8" s="143"/>
      <c r="V8" s="143"/>
      <c r="W8" s="143"/>
      <c r="X8" s="143"/>
      <c r="Y8" s="143"/>
      <c r="Z8" s="143"/>
      <c r="AA8" s="143"/>
      <c r="AB8" s="143"/>
      <c r="AC8" s="143"/>
      <c r="AD8" s="143"/>
      <c r="AE8" s="143"/>
      <c r="AF8" s="143"/>
      <c r="AG8" s="143"/>
      <c r="AH8" s="77"/>
      <c r="AI8" s="13"/>
    </row>
    <row r="9" spans="1:35" s="74" customFormat="1" ht="30" x14ac:dyDescent="0.25">
      <c r="A9" s="203">
        <v>54</v>
      </c>
      <c r="B9" s="73" t="str">
        <f t="shared" si="0"/>
        <v>C.1.01</v>
      </c>
      <c r="C9" s="20">
        <f t="shared" si="1"/>
        <v>5</v>
      </c>
      <c r="D9" s="20"/>
      <c r="E9" s="119" t="str">
        <f t="shared" si="2"/>
        <v>C.1.01</v>
      </c>
      <c r="F9" s="140" t="str">
        <f t="shared" si="3"/>
        <v>Do follow-up activities include remediating weaknesses found during the testing process, reducing the risk of them being exploited again?</v>
      </c>
      <c r="G9" s="118"/>
      <c r="H9" s="139"/>
      <c r="I9" s="141"/>
      <c r="J9" s="139"/>
      <c r="K9" s="139"/>
      <c r="L9" s="139"/>
      <c r="M9" s="139"/>
      <c r="N9" s="121" t="str">
        <f t="shared" ca="1" si="4"/>
        <v>x 1</v>
      </c>
      <c r="O9" s="121" t="str">
        <f t="shared" ca="1" si="5"/>
        <v/>
      </c>
      <c r="P9" s="122"/>
      <c r="Q9" s="122"/>
      <c r="R9" s="118"/>
      <c r="S9" s="118"/>
      <c r="T9" s="118"/>
      <c r="U9" s="118"/>
      <c r="V9" s="118"/>
      <c r="W9" s="118"/>
      <c r="X9" s="118"/>
      <c r="Y9" s="118"/>
      <c r="Z9" s="123"/>
      <c r="AA9" s="118">
        <v>1</v>
      </c>
      <c r="AB9" s="118"/>
      <c r="AC9" s="118"/>
      <c r="AD9" s="118"/>
      <c r="AE9" s="118"/>
      <c r="AF9" s="118"/>
      <c r="AG9" s="118"/>
      <c r="AH9" s="77">
        <v>1</v>
      </c>
      <c r="AI9" s="13"/>
    </row>
    <row r="10" spans="1:35" s="74" customFormat="1" ht="105" x14ac:dyDescent="0.25">
      <c r="A10" s="203">
        <v>55</v>
      </c>
      <c r="B10" s="73" t="str">
        <f t="shared" si="0"/>
        <v/>
      </c>
      <c r="C10" s="20">
        <f t="shared" si="1"/>
        <v>3</v>
      </c>
      <c r="D10" s="20"/>
      <c r="E10" s="119" t="str">
        <f t="shared" si="2"/>
        <v/>
      </c>
      <c r="F10" s="138" t="str">
        <f t="shared" si="3"/>
        <v>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v>
      </c>
      <c r="G10" s="138"/>
      <c r="H10" s="138"/>
      <c r="I10" s="138"/>
      <c r="J10" s="138"/>
      <c r="K10" s="138"/>
      <c r="L10" s="138"/>
      <c r="M10" s="138"/>
      <c r="N10" s="121" t="str">
        <f t="shared" ca="1" si="4"/>
        <v/>
      </c>
      <c r="O10" s="118" t="str">
        <f t="shared" ca="1" si="5"/>
        <v/>
      </c>
      <c r="P10" s="122"/>
      <c r="Q10" s="122"/>
      <c r="R10" s="118"/>
      <c r="S10" s="118"/>
      <c r="T10" s="118"/>
      <c r="U10" s="118"/>
      <c r="V10" s="118"/>
      <c r="W10" s="118"/>
      <c r="X10" s="118"/>
      <c r="Y10" s="118"/>
      <c r="Z10" s="123"/>
      <c r="AA10" s="118"/>
      <c r="AB10" s="118"/>
      <c r="AC10" s="118"/>
      <c r="AD10" s="118"/>
      <c r="AE10" s="118"/>
      <c r="AF10" s="118"/>
      <c r="AG10" s="118"/>
      <c r="AH10" s="202"/>
      <c r="AI10" s="13"/>
    </row>
    <row r="11" spans="1:35" s="74" customFormat="1" ht="30" customHeight="1" x14ac:dyDescent="0.25">
      <c r="A11" s="72">
        <v>56</v>
      </c>
      <c r="B11" s="73" t="str">
        <f t="shared" si="0"/>
        <v>C.2</v>
      </c>
      <c r="C11" s="20">
        <f t="shared" si="1"/>
        <v>2</v>
      </c>
      <c r="D11" s="20"/>
      <c r="E11" s="142" t="str">
        <f t="shared" si="2"/>
        <v>Step 2</v>
      </c>
      <c r="F11" s="143" t="str">
        <f t="shared" si="3"/>
        <v>Address root causes of weaknesses</v>
      </c>
      <c r="G11" s="143"/>
      <c r="H11" s="143"/>
      <c r="I11" s="143"/>
      <c r="J11" s="143"/>
      <c r="K11" s="143"/>
      <c r="L11" s="143"/>
      <c r="M11" s="143"/>
      <c r="N11" s="143" t="str">
        <f t="shared" ca="1" si="4"/>
        <v/>
      </c>
      <c r="O11" s="143" t="str">
        <f t="shared" ca="1" si="5"/>
        <v/>
      </c>
      <c r="P11" s="143"/>
      <c r="Q11" s="143"/>
      <c r="R11" s="143"/>
      <c r="S11" s="143"/>
      <c r="T11" s="143"/>
      <c r="U11" s="143"/>
      <c r="V11" s="143"/>
      <c r="W11" s="143"/>
      <c r="X11" s="143"/>
      <c r="Y11" s="143"/>
      <c r="Z11" s="143"/>
      <c r="AA11" s="143"/>
      <c r="AB11" s="143"/>
      <c r="AC11" s="143"/>
      <c r="AD11" s="143"/>
      <c r="AE11" s="143"/>
      <c r="AF11" s="143"/>
      <c r="AG11" s="143"/>
      <c r="AH11" s="77"/>
      <c r="AI11" s="13"/>
    </row>
    <row r="12" spans="1:35" s="74" customFormat="1" ht="30" x14ac:dyDescent="0.25">
      <c r="A12" s="203">
        <v>57</v>
      </c>
      <c r="B12" s="73" t="str">
        <f t="shared" si="0"/>
        <v>C.2.01</v>
      </c>
      <c r="C12" s="20">
        <f t="shared" si="1"/>
        <v>5</v>
      </c>
      <c r="D12" s="20"/>
      <c r="E12" s="119" t="str">
        <f t="shared" si="2"/>
        <v>C.2.01</v>
      </c>
      <c r="F12" s="140" t="str">
        <f t="shared" si="3"/>
        <v>Do follow-up activities include analysing and addressing the root causes of weaknesses identified in penetration testing?</v>
      </c>
      <c r="G12" s="118"/>
      <c r="H12" s="139"/>
      <c r="I12" s="141"/>
      <c r="J12" s="139"/>
      <c r="K12" s="139"/>
      <c r="L12" s="139"/>
      <c r="M12" s="139"/>
      <c r="N12" s="121" t="str">
        <f t="shared" ca="1" si="4"/>
        <v>x 1</v>
      </c>
      <c r="O12" s="121" t="str">
        <f t="shared" ca="1" si="5"/>
        <v/>
      </c>
      <c r="P12" s="122"/>
      <c r="Q12" s="122"/>
      <c r="R12" s="118"/>
      <c r="S12" s="118"/>
      <c r="T12" s="118"/>
      <c r="U12" s="118"/>
      <c r="V12" s="118"/>
      <c r="W12" s="118"/>
      <c r="X12" s="118"/>
      <c r="Y12" s="118"/>
      <c r="Z12" s="123"/>
      <c r="AA12" s="118">
        <v>1</v>
      </c>
      <c r="AB12" s="118"/>
      <c r="AC12" s="118"/>
      <c r="AD12" s="118"/>
      <c r="AE12" s="118"/>
      <c r="AF12" s="118"/>
      <c r="AG12" s="118"/>
      <c r="AH12" s="77">
        <v>1</v>
      </c>
      <c r="AI12" s="13"/>
    </row>
    <row r="13" spans="1:35" s="74" customFormat="1" ht="75" x14ac:dyDescent="0.25">
      <c r="A13" s="203">
        <v>58</v>
      </c>
      <c r="B13" s="73" t="str">
        <f t="shared" si="0"/>
        <v/>
      </c>
      <c r="C13" s="20">
        <f t="shared" si="1"/>
        <v>3</v>
      </c>
      <c r="D13" s="20"/>
      <c r="E13" s="119" t="str">
        <f t="shared" si="2"/>
        <v/>
      </c>
      <c r="F13" s="138" t="str">
        <f t="shared" si="3"/>
        <v>Root cause analysis should include: identifying the real root causes of exposures; evaluating potential business impact; identifying more endemic or fundamental root causes; involving qualified, experienced security professionals to help define corrective action strategy and plans.</v>
      </c>
      <c r="G13" s="138"/>
      <c r="H13" s="138"/>
      <c r="I13" s="138"/>
      <c r="J13" s="138"/>
      <c r="K13" s="138"/>
      <c r="L13" s="138"/>
      <c r="M13" s="138"/>
      <c r="N13" s="121" t="str">
        <f t="shared" ca="1" si="4"/>
        <v/>
      </c>
      <c r="O13" s="118" t="str">
        <f t="shared" ca="1" si="5"/>
        <v/>
      </c>
      <c r="P13" s="122"/>
      <c r="Q13" s="122"/>
      <c r="R13" s="118"/>
      <c r="S13" s="118"/>
      <c r="T13" s="118"/>
      <c r="U13" s="118"/>
      <c r="V13" s="118"/>
      <c r="W13" s="118"/>
      <c r="X13" s="118"/>
      <c r="Y13" s="118"/>
      <c r="Z13" s="123"/>
      <c r="AA13" s="118"/>
      <c r="AB13" s="118"/>
      <c r="AC13" s="118"/>
      <c r="AD13" s="118"/>
      <c r="AE13" s="118"/>
      <c r="AF13" s="118"/>
      <c r="AG13" s="118"/>
      <c r="AH13" s="202">
        <v>1</v>
      </c>
      <c r="AI13" s="13"/>
    </row>
    <row r="14" spans="1:35" s="74" customFormat="1" ht="30" customHeight="1" x14ac:dyDescent="0.25">
      <c r="A14" s="72">
        <v>59</v>
      </c>
      <c r="B14" s="73" t="str">
        <f t="shared" si="0"/>
        <v>C.3</v>
      </c>
      <c r="C14" s="20">
        <f t="shared" si="1"/>
        <v>2</v>
      </c>
      <c r="D14" s="20"/>
      <c r="E14" s="142" t="str">
        <f t="shared" si="2"/>
        <v>Step 3</v>
      </c>
      <c r="F14" s="143" t="str">
        <f t="shared" si="3"/>
        <v>Initiate improvement programme</v>
      </c>
      <c r="G14" s="143"/>
      <c r="H14" s="143"/>
      <c r="I14" s="143"/>
      <c r="J14" s="143"/>
      <c r="K14" s="143"/>
      <c r="L14" s="143"/>
      <c r="M14" s="143"/>
      <c r="N14" s="143" t="str">
        <f t="shared" ca="1" si="4"/>
        <v/>
      </c>
      <c r="O14" s="143" t="str">
        <f t="shared" ca="1" si="5"/>
        <v/>
      </c>
      <c r="P14" s="143"/>
      <c r="Q14" s="143"/>
      <c r="R14" s="143"/>
      <c r="S14" s="143"/>
      <c r="T14" s="143"/>
      <c r="U14" s="143"/>
      <c r="V14" s="143"/>
      <c r="W14" s="143"/>
      <c r="X14" s="143"/>
      <c r="Y14" s="143"/>
      <c r="Z14" s="143"/>
      <c r="AA14" s="143"/>
      <c r="AB14" s="143"/>
      <c r="AC14" s="143"/>
      <c r="AD14" s="143"/>
      <c r="AE14" s="143"/>
      <c r="AF14" s="143"/>
      <c r="AG14" s="143"/>
      <c r="AH14" s="77"/>
      <c r="AI14" s="13"/>
    </row>
    <row r="15" spans="1:35" s="74" customFormat="1" ht="30" x14ac:dyDescent="0.25">
      <c r="A15" s="203">
        <v>60</v>
      </c>
      <c r="B15" s="73" t="str">
        <f t="shared" si="0"/>
        <v>C.3.01</v>
      </c>
      <c r="C15" s="20">
        <f t="shared" si="1"/>
        <v>5</v>
      </c>
      <c r="D15" s="20"/>
      <c r="E15" s="119" t="str">
        <f t="shared" si="2"/>
        <v>C.3.01</v>
      </c>
      <c r="F15" s="140" t="str">
        <f t="shared" si="3"/>
        <v>On completion of penetration tests, is an improvement programme initiated?</v>
      </c>
      <c r="G15" s="118"/>
      <c r="H15" s="139"/>
      <c r="I15" s="141"/>
      <c r="J15" s="139"/>
      <c r="K15" s="139"/>
      <c r="L15" s="139"/>
      <c r="M15" s="139"/>
      <c r="N15" s="121" t="str">
        <f t="shared" ca="1" si="4"/>
        <v>x 1</v>
      </c>
      <c r="O15" s="121" t="str">
        <f t="shared" ca="1" si="5"/>
        <v/>
      </c>
      <c r="P15" s="122"/>
      <c r="Q15" s="122"/>
      <c r="R15" s="118"/>
      <c r="S15" s="118"/>
      <c r="T15" s="118"/>
      <c r="U15" s="118"/>
      <c r="V15" s="118"/>
      <c r="W15" s="118"/>
      <c r="X15" s="118"/>
      <c r="Y15" s="118"/>
      <c r="Z15" s="123"/>
      <c r="AA15" s="118">
        <v>1</v>
      </c>
      <c r="AB15" s="118"/>
      <c r="AC15" s="118"/>
      <c r="AD15" s="118"/>
      <c r="AE15" s="118"/>
      <c r="AF15" s="118"/>
      <c r="AG15" s="118"/>
      <c r="AH15" s="77">
        <v>1</v>
      </c>
      <c r="AI15" s="13"/>
    </row>
    <row r="16" spans="1:35" s="74" customFormat="1" ht="75" x14ac:dyDescent="0.25">
      <c r="A16" s="203">
        <v>61</v>
      </c>
      <c r="B16" s="73" t="str">
        <f t="shared" si="0"/>
        <v/>
      </c>
      <c r="C16" s="20">
        <f t="shared" si="1"/>
        <v>3</v>
      </c>
      <c r="D16" s="20"/>
      <c r="E16" s="119" t="str">
        <f t="shared" si="2"/>
        <v/>
      </c>
      <c r="F16" s="138" t="str">
        <f t="shared" si="3"/>
        <v>The improvement programme should be carried out in a structured / systematic manner: addressing root causes of weakness; evaluating penetration testing effectiveness; identifying lessons learned; applying good practice enterprise-wide; creating and monitoring action plans; and agreeing approaches for future testing.</v>
      </c>
      <c r="G16" s="138"/>
      <c r="H16" s="138"/>
      <c r="I16" s="138"/>
      <c r="J16" s="138"/>
      <c r="K16" s="138"/>
      <c r="L16" s="138"/>
      <c r="M16" s="138"/>
      <c r="N16" s="121" t="str">
        <f t="shared" ca="1" si="4"/>
        <v/>
      </c>
      <c r="O16" s="118" t="str">
        <f t="shared" ca="1" si="5"/>
        <v/>
      </c>
      <c r="P16" s="122"/>
      <c r="Q16" s="122"/>
      <c r="R16" s="118"/>
      <c r="S16" s="118"/>
      <c r="T16" s="118"/>
      <c r="U16" s="118"/>
      <c r="V16" s="118"/>
      <c r="W16" s="118"/>
      <c r="X16" s="118"/>
      <c r="Y16" s="118"/>
      <c r="Z16" s="123"/>
      <c r="AA16" s="118"/>
      <c r="AB16" s="118"/>
      <c r="AC16" s="118"/>
      <c r="AD16" s="118"/>
      <c r="AE16" s="118"/>
      <c r="AF16" s="118"/>
      <c r="AG16" s="118"/>
      <c r="AH16" s="202">
        <v>1</v>
      </c>
      <c r="AI16" s="13"/>
    </row>
    <row r="17" spans="1:35" s="74" customFormat="1" ht="30" customHeight="1" x14ac:dyDescent="0.25">
      <c r="A17" s="72">
        <v>62</v>
      </c>
      <c r="B17" s="73" t="str">
        <f t="shared" si="0"/>
        <v>C.4</v>
      </c>
      <c r="C17" s="20">
        <f t="shared" si="1"/>
        <v>2</v>
      </c>
      <c r="D17" s="20"/>
      <c r="E17" s="142" t="str">
        <f t="shared" si="2"/>
        <v>Step 4</v>
      </c>
      <c r="F17" s="143" t="str">
        <f t="shared" si="3"/>
        <v>Evaluate penetration testing effectiveness</v>
      </c>
      <c r="G17" s="143"/>
      <c r="H17" s="143"/>
      <c r="I17" s="143"/>
      <c r="J17" s="143"/>
      <c r="K17" s="143"/>
      <c r="L17" s="143"/>
      <c r="M17" s="143"/>
      <c r="N17" s="143" t="str">
        <f t="shared" ca="1" si="4"/>
        <v/>
      </c>
      <c r="O17" s="143" t="str">
        <f t="shared" ca="1" si="5"/>
        <v/>
      </c>
      <c r="P17" s="143"/>
      <c r="Q17" s="143"/>
      <c r="R17" s="143"/>
      <c r="S17" s="143"/>
      <c r="T17" s="143"/>
      <c r="U17" s="143"/>
      <c r="V17" s="143"/>
      <c r="W17" s="143"/>
      <c r="X17" s="143"/>
      <c r="Y17" s="143"/>
      <c r="Z17" s="143"/>
      <c r="AA17" s="143"/>
      <c r="AB17" s="143"/>
      <c r="AC17" s="143"/>
      <c r="AD17" s="143"/>
      <c r="AE17" s="143"/>
      <c r="AF17" s="143"/>
      <c r="AG17" s="143"/>
      <c r="AH17" s="77"/>
      <c r="AI17" s="13"/>
    </row>
    <row r="18" spans="1:35" s="74" customFormat="1" ht="30" customHeight="1" x14ac:dyDescent="0.25">
      <c r="A18" s="203">
        <v>63</v>
      </c>
      <c r="B18" s="73" t="str">
        <f t="shared" si="0"/>
        <v>C.4.01</v>
      </c>
      <c r="C18" s="20">
        <f t="shared" si="1"/>
        <v>5</v>
      </c>
      <c r="D18" s="20"/>
      <c r="E18" s="119" t="str">
        <f t="shared" si="2"/>
        <v>C.4.01</v>
      </c>
      <c r="F18" s="140" t="str">
        <f t="shared" si="3"/>
        <v>Is the effectiveness of your penetration tests evaluated?</v>
      </c>
      <c r="G18" s="118"/>
      <c r="H18" s="139"/>
      <c r="I18" s="141"/>
      <c r="J18" s="139"/>
      <c r="K18" s="139"/>
      <c r="L18" s="139"/>
      <c r="M18" s="139"/>
      <c r="N18" s="121" t="str">
        <f t="shared" ca="1" si="4"/>
        <v>x 1</v>
      </c>
      <c r="O18" s="121" t="str">
        <f t="shared" ca="1" si="5"/>
        <v/>
      </c>
      <c r="P18" s="122"/>
      <c r="Q18" s="122"/>
      <c r="R18" s="118"/>
      <c r="S18" s="118"/>
      <c r="T18" s="118"/>
      <c r="U18" s="118"/>
      <c r="V18" s="118"/>
      <c r="W18" s="118"/>
      <c r="X18" s="118"/>
      <c r="Y18" s="118"/>
      <c r="Z18" s="123"/>
      <c r="AA18" s="118">
        <v>1</v>
      </c>
      <c r="AB18" s="118"/>
      <c r="AC18" s="118"/>
      <c r="AD18" s="118"/>
      <c r="AE18" s="118"/>
      <c r="AF18" s="118"/>
      <c r="AG18" s="118"/>
      <c r="AH18" s="77">
        <v>1</v>
      </c>
      <c r="AI18" s="13"/>
    </row>
    <row r="19" spans="1:35" s="74" customFormat="1" ht="75" x14ac:dyDescent="0.25">
      <c r="A19" s="203">
        <v>64</v>
      </c>
      <c r="B19" s="73" t="str">
        <f t="shared" si="0"/>
        <v/>
      </c>
      <c r="C19" s="20">
        <f t="shared" si="1"/>
        <v>3</v>
      </c>
      <c r="D19" s="20"/>
      <c r="E19" s="119" t="str">
        <f t="shared" si="2"/>
        <v/>
      </c>
      <c r="F19" s="138" t="str">
        <f t="shared" si="3"/>
        <v>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v>
      </c>
      <c r="G19" s="138"/>
      <c r="H19" s="138"/>
      <c r="I19" s="138"/>
      <c r="J19" s="138"/>
      <c r="K19" s="138"/>
      <c r="L19" s="138"/>
      <c r="M19" s="138"/>
      <c r="N19" s="121" t="str">
        <f t="shared" ca="1" si="4"/>
        <v/>
      </c>
      <c r="O19" s="118" t="str">
        <f t="shared" ca="1" si="5"/>
        <v/>
      </c>
      <c r="P19" s="122"/>
      <c r="Q19" s="122"/>
      <c r="R19" s="118"/>
      <c r="S19" s="118"/>
      <c r="T19" s="118"/>
      <c r="U19" s="118"/>
      <c r="V19" s="118"/>
      <c r="W19" s="118"/>
      <c r="X19" s="118"/>
      <c r="Y19" s="118"/>
      <c r="Z19" s="123"/>
      <c r="AA19" s="118"/>
      <c r="AB19" s="118"/>
      <c r="AC19" s="118"/>
      <c r="AD19" s="118"/>
      <c r="AE19" s="118"/>
      <c r="AF19" s="118"/>
      <c r="AG19" s="118"/>
      <c r="AH19" s="202">
        <v>1</v>
      </c>
      <c r="AI19" s="13"/>
    </row>
    <row r="20" spans="1:35" s="125" customFormat="1" ht="30" customHeight="1" x14ac:dyDescent="0.25">
      <c r="A20" s="134">
        <v>65</v>
      </c>
      <c r="B20" s="117" t="str">
        <f t="shared" si="0"/>
        <v>C.5</v>
      </c>
      <c r="C20" s="118">
        <f t="shared" si="1"/>
        <v>2</v>
      </c>
      <c r="D20" s="87"/>
      <c r="E20" s="142" t="str">
        <f t="shared" si="2"/>
        <v>Step 5</v>
      </c>
      <c r="F20" s="143" t="str">
        <f t="shared" si="3"/>
        <v>Build on lessons learned</v>
      </c>
      <c r="G20" s="143"/>
      <c r="H20" s="143"/>
      <c r="I20" s="143"/>
      <c r="J20" s="143"/>
      <c r="K20" s="143"/>
      <c r="L20" s="143"/>
      <c r="M20" s="143"/>
      <c r="N20" s="143" t="str">
        <f t="shared" ca="1" si="4"/>
        <v/>
      </c>
      <c r="O20" s="143" t="str">
        <f t="shared" ca="1" si="5"/>
        <v/>
      </c>
      <c r="P20" s="143"/>
      <c r="Q20" s="143"/>
      <c r="R20" s="143"/>
      <c r="S20" s="143"/>
      <c r="T20" s="143"/>
      <c r="U20" s="143"/>
      <c r="V20" s="143"/>
      <c r="W20" s="143"/>
      <c r="X20" s="143"/>
      <c r="Y20" s="143"/>
      <c r="Z20" s="143"/>
      <c r="AA20" s="143"/>
      <c r="AB20" s="143"/>
      <c r="AC20" s="143"/>
      <c r="AD20" s="143"/>
      <c r="AE20" s="143"/>
      <c r="AF20" s="143"/>
      <c r="AG20" s="143"/>
      <c r="AH20" s="124"/>
      <c r="AI20" s="13"/>
    </row>
    <row r="21" spans="1:35" s="125" customFormat="1" ht="45" x14ac:dyDescent="0.25">
      <c r="A21" s="137">
        <v>66</v>
      </c>
      <c r="B21" s="117" t="str">
        <f t="shared" si="0"/>
        <v>C.5.01</v>
      </c>
      <c r="C21" s="118">
        <f t="shared" si="1"/>
        <v>5</v>
      </c>
      <c r="D21" s="87"/>
      <c r="E21" s="119" t="str">
        <f t="shared" si="2"/>
        <v>C.5.01</v>
      </c>
      <c r="F21" s="140" t="str">
        <f t="shared" si="3"/>
        <v>Does your penetration testing approach include identifying, recording, analysing and acting upon lessons learned, ensuring good practices are applied to other environments?</v>
      </c>
      <c r="G21" s="118"/>
      <c r="H21" s="139"/>
      <c r="I21" s="141"/>
      <c r="J21" s="139"/>
      <c r="K21" s="139"/>
      <c r="L21" s="139"/>
      <c r="M21" s="139"/>
      <c r="N21" s="121" t="str">
        <f t="shared" ca="1" si="4"/>
        <v>x 1</v>
      </c>
      <c r="O21" s="121" t="str">
        <f t="shared" ca="1" si="5"/>
        <v/>
      </c>
      <c r="P21" s="122"/>
      <c r="Q21" s="122"/>
      <c r="R21" s="118"/>
      <c r="S21" s="118"/>
      <c r="T21" s="118"/>
      <c r="U21" s="118"/>
      <c r="V21" s="118"/>
      <c r="W21" s="118"/>
      <c r="X21" s="118"/>
      <c r="Y21" s="118"/>
      <c r="Z21" s="123"/>
      <c r="AA21" s="118">
        <v>1</v>
      </c>
      <c r="AB21" s="118"/>
      <c r="AC21" s="118"/>
      <c r="AD21" s="118"/>
      <c r="AE21" s="118"/>
      <c r="AF21" s="118"/>
      <c r="AG21" s="118"/>
      <c r="AH21" s="124">
        <v>1</v>
      </c>
      <c r="AI21" s="13"/>
    </row>
    <row r="22" spans="1:35" s="125" customFormat="1" ht="105" x14ac:dyDescent="0.25">
      <c r="A22" s="137">
        <v>67</v>
      </c>
      <c r="B22" s="117" t="str">
        <f t="shared" si="0"/>
        <v/>
      </c>
      <c r="C22" s="118">
        <f t="shared" si="1"/>
        <v>3</v>
      </c>
      <c r="D22" s="87"/>
      <c r="E22" s="119" t="str">
        <f t="shared" si="2"/>
        <v/>
      </c>
      <c r="F22" s="138" t="str">
        <f t="shared" si="3"/>
        <v>Lessons learned before, during and after penetration tests have been conducted should be used to help in planning future tests and provide feedback to service providers to help them improve processes. Good practices identified as a result of penetration tests conducted for one environment should be applied to a wide range of other environments, and rolled out in a consistent and effective manner, fixing root causes endemically.</v>
      </c>
      <c r="G22" s="138"/>
      <c r="H22" s="138"/>
      <c r="I22" s="138"/>
      <c r="J22" s="138"/>
      <c r="K22" s="138"/>
      <c r="L22" s="138"/>
      <c r="M22" s="138"/>
      <c r="N22" s="121" t="str">
        <f t="shared" ca="1" si="4"/>
        <v/>
      </c>
      <c r="O22" s="118" t="str">
        <f t="shared" ca="1" si="5"/>
        <v/>
      </c>
      <c r="P22" s="122"/>
      <c r="Q22" s="122"/>
      <c r="R22" s="118"/>
      <c r="S22" s="118"/>
      <c r="T22" s="118"/>
      <c r="U22" s="118"/>
      <c r="V22" s="118"/>
      <c r="W22" s="118"/>
      <c r="X22" s="118"/>
      <c r="Y22" s="118"/>
      <c r="Z22" s="123"/>
      <c r="AA22" s="118"/>
      <c r="AB22" s="118"/>
      <c r="AC22" s="118"/>
      <c r="AD22" s="118"/>
      <c r="AE22" s="118"/>
      <c r="AF22" s="118"/>
      <c r="AG22" s="118"/>
      <c r="AH22" s="121">
        <v>1</v>
      </c>
      <c r="AI22" s="13"/>
    </row>
    <row r="23" spans="1:35" s="125" customFormat="1" ht="30" customHeight="1" x14ac:dyDescent="0.25">
      <c r="A23" s="134">
        <v>68</v>
      </c>
      <c r="B23" s="117" t="str">
        <f t="shared" si="0"/>
        <v>C.6</v>
      </c>
      <c r="C23" s="118">
        <f t="shared" si="1"/>
        <v>2</v>
      </c>
      <c r="D23" s="87"/>
      <c r="E23" s="142" t="str">
        <f t="shared" si="2"/>
        <v>Step 6</v>
      </c>
      <c r="F23" s="143" t="str">
        <f t="shared" si="3"/>
        <v>Create and monitor action plans</v>
      </c>
      <c r="G23" s="143"/>
      <c r="H23" s="143"/>
      <c r="I23" s="143"/>
      <c r="J23" s="143"/>
      <c r="K23" s="143"/>
      <c r="L23" s="143"/>
      <c r="M23" s="143"/>
      <c r="N23" s="143" t="str">
        <f t="shared" ca="1" si="4"/>
        <v/>
      </c>
      <c r="O23" s="143" t="str">
        <f t="shared" ca="1" si="5"/>
        <v/>
      </c>
      <c r="P23" s="143"/>
      <c r="Q23" s="143"/>
      <c r="R23" s="143"/>
      <c r="S23" s="143"/>
      <c r="T23" s="143"/>
      <c r="U23" s="143"/>
      <c r="V23" s="143"/>
      <c r="W23" s="143"/>
      <c r="X23" s="143"/>
      <c r="Y23" s="143"/>
      <c r="Z23" s="143"/>
      <c r="AA23" s="143"/>
      <c r="AB23" s="143"/>
      <c r="AC23" s="143"/>
      <c r="AD23" s="143"/>
      <c r="AE23" s="143"/>
      <c r="AF23" s="143"/>
      <c r="AG23" s="143"/>
      <c r="AH23" s="124"/>
      <c r="AI23" s="13"/>
    </row>
    <row r="24" spans="1:35" s="125" customFormat="1" ht="30" x14ac:dyDescent="0.25">
      <c r="A24" s="137">
        <v>69</v>
      </c>
      <c r="B24" s="117" t="str">
        <f t="shared" si="0"/>
        <v>C.6.01</v>
      </c>
      <c r="C24" s="118">
        <f t="shared" si="1"/>
        <v>5</v>
      </c>
      <c r="D24" s="87"/>
      <c r="E24" s="119" t="str">
        <f t="shared" si="2"/>
        <v>C.6.01</v>
      </c>
      <c r="F24" s="140" t="str">
        <f t="shared" si="3"/>
        <v>Are action plans created to help act upon follow-up activities undertaken and used to provide input into the design and scope of future tests?</v>
      </c>
      <c r="G24" s="118"/>
      <c r="H24" s="139"/>
      <c r="I24" s="141"/>
      <c r="J24" s="139"/>
      <c r="K24" s="139"/>
      <c r="L24" s="139"/>
      <c r="M24" s="139"/>
      <c r="N24" s="121" t="str">
        <f t="shared" ca="1" si="4"/>
        <v>x 1</v>
      </c>
      <c r="O24" s="121" t="str">
        <f t="shared" ca="1" si="5"/>
        <v/>
      </c>
      <c r="P24" s="122"/>
      <c r="Q24" s="122"/>
      <c r="R24" s="118"/>
      <c r="S24" s="118"/>
      <c r="T24" s="118"/>
      <c r="U24" s="118"/>
      <c r="V24" s="118"/>
      <c r="W24" s="118"/>
      <c r="X24" s="118"/>
      <c r="Y24" s="118"/>
      <c r="Z24" s="123"/>
      <c r="AA24" s="118">
        <v>1</v>
      </c>
      <c r="AB24" s="118"/>
      <c r="AC24" s="118"/>
      <c r="AD24" s="118"/>
      <c r="AE24" s="118"/>
      <c r="AF24" s="118"/>
      <c r="AG24" s="118"/>
      <c r="AH24" s="124">
        <v>1</v>
      </c>
      <c r="AI24" s="13"/>
    </row>
    <row r="25" spans="1:35" s="125" customFormat="1" ht="135" x14ac:dyDescent="0.25">
      <c r="A25" s="137">
        <v>70</v>
      </c>
      <c r="B25" s="117" t="str">
        <f t="shared" si="0"/>
        <v/>
      </c>
      <c r="C25" s="118">
        <f t="shared" si="1"/>
        <v>3</v>
      </c>
      <c r="D25" s="87"/>
      <c r="E25" s="119" t="str">
        <f t="shared" si="2"/>
        <v/>
      </c>
      <c r="F25" s="138" t="str">
        <f t="shared" si="3"/>
        <v>Actions plans should: be formally developed and approved; outline all relevant actions to be taken, include relevant details of the actions to be taken, implemented effectively and monitored to ensure progress is being made and that risks are being kept within acceptable limits. Results from penetration tests should be used when considering what to test in the future (e.g. infrastructure, web applications, mobile devices), how future tests should be undertaken; and when (e.g. on a regular basis (e.g. annually); after significant technical or business changes are made: or in response to a major security incident).</v>
      </c>
      <c r="G25" s="138"/>
      <c r="H25" s="138"/>
      <c r="I25" s="138"/>
      <c r="J25" s="138"/>
      <c r="K25" s="138"/>
      <c r="L25" s="138"/>
      <c r="M25" s="138"/>
      <c r="N25" s="121" t="str">
        <f t="shared" ca="1" si="4"/>
        <v/>
      </c>
      <c r="O25" s="118" t="str">
        <f t="shared" ca="1" si="5"/>
        <v/>
      </c>
      <c r="P25" s="122"/>
      <c r="Q25" s="122"/>
      <c r="R25" s="118"/>
      <c r="S25" s="118"/>
      <c r="T25" s="118"/>
      <c r="U25" s="118"/>
      <c r="V25" s="118"/>
      <c r="W25" s="118"/>
      <c r="X25" s="118"/>
      <c r="Y25" s="118"/>
      <c r="Z25" s="123"/>
      <c r="AA25" s="118"/>
      <c r="AB25" s="118"/>
      <c r="AC25" s="118"/>
      <c r="AD25" s="118"/>
      <c r="AE25" s="118"/>
      <c r="AF25" s="118"/>
      <c r="AG25" s="118"/>
      <c r="AH25" s="121">
        <v>1</v>
      </c>
      <c r="AI25" s="13"/>
    </row>
  </sheetData>
  <sheetProtection algorithmName="SHA-512" hashValue="5QhmOcl5XEDTL6mF9nw9NYa4PggctahjdgZKzCjw17cw4qWGn7fdFL/C9yK4oTLmPtE28NyLyy8Va87vD40DaQ==" saltValue="zsMNgrKRI82T/XMMa0F32A==" spinCount="100000" sheet="1" objects="1" scenarios="1"/>
  <sortState xmlns:xlrd2="http://schemas.microsoft.com/office/spreadsheetml/2017/richdata2" ref="A8:AI25">
    <sortCondition ref="A8:A25"/>
  </sortState>
  <dataConsolidate/>
  <mergeCells count="1">
    <mergeCell ref="F2:F5"/>
  </mergeCells>
  <pageMargins left="0.7" right="0.7" top="0.75" bottom="0.75" header="0.3" footer="0.3"/>
  <pageSetup paperSize="9" scale="3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7153" r:id="rId4" name="Drop Down 1">
              <controlPr locked="0" defaultSize="0" autoFill="0" autoPict="0">
                <anchor moveWithCells="1">
                  <from>
                    <xdr:col>6</xdr:col>
                    <xdr:colOff>400050</xdr:colOff>
                    <xdr:row>8</xdr:row>
                    <xdr:rowOff>76200</xdr:rowOff>
                  </from>
                  <to>
                    <xdr:col>6</xdr:col>
                    <xdr:colOff>1638300</xdr:colOff>
                    <xdr:row>8</xdr:row>
                    <xdr:rowOff>304800</xdr:rowOff>
                  </to>
                </anchor>
              </controlPr>
            </control>
          </mc:Choice>
        </mc:AlternateContent>
        <mc:AlternateContent xmlns:mc="http://schemas.openxmlformats.org/markup-compatibility/2006">
          <mc:Choice Requires="x14">
            <control shapeId="177162" r:id="rId5" name="Drop Down 10">
              <controlPr locked="0" defaultSize="0" autoFill="0" autoPict="0">
                <anchor moveWithCells="1">
                  <from>
                    <xdr:col>6</xdr:col>
                    <xdr:colOff>400050</xdr:colOff>
                    <xdr:row>11</xdr:row>
                    <xdr:rowOff>76200</xdr:rowOff>
                  </from>
                  <to>
                    <xdr:col>6</xdr:col>
                    <xdr:colOff>1638300</xdr:colOff>
                    <xdr:row>11</xdr:row>
                    <xdr:rowOff>304800</xdr:rowOff>
                  </to>
                </anchor>
              </controlPr>
            </control>
          </mc:Choice>
        </mc:AlternateContent>
        <mc:AlternateContent xmlns:mc="http://schemas.openxmlformats.org/markup-compatibility/2006">
          <mc:Choice Requires="x14">
            <control shapeId="177163" r:id="rId6" name="Drop Down 11">
              <controlPr locked="0" defaultSize="0" autoFill="0" autoPict="0">
                <anchor moveWithCells="1">
                  <from>
                    <xdr:col>6</xdr:col>
                    <xdr:colOff>400050</xdr:colOff>
                    <xdr:row>14</xdr:row>
                    <xdr:rowOff>76200</xdr:rowOff>
                  </from>
                  <to>
                    <xdr:col>6</xdr:col>
                    <xdr:colOff>1638300</xdr:colOff>
                    <xdr:row>14</xdr:row>
                    <xdr:rowOff>304800</xdr:rowOff>
                  </to>
                </anchor>
              </controlPr>
            </control>
          </mc:Choice>
        </mc:AlternateContent>
        <mc:AlternateContent xmlns:mc="http://schemas.openxmlformats.org/markup-compatibility/2006">
          <mc:Choice Requires="x14">
            <control shapeId="177164" r:id="rId7" name="Drop Down 12">
              <controlPr locked="0" defaultSize="0" autoFill="0" autoPict="0">
                <anchor moveWithCells="1">
                  <from>
                    <xdr:col>6</xdr:col>
                    <xdr:colOff>400050</xdr:colOff>
                    <xdr:row>17</xdr:row>
                    <xdr:rowOff>76200</xdr:rowOff>
                  </from>
                  <to>
                    <xdr:col>6</xdr:col>
                    <xdr:colOff>1638300</xdr:colOff>
                    <xdr:row>17</xdr:row>
                    <xdr:rowOff>304800</xdr:rowOff>
                  </to>
                </anchor>
              </controlPr>
            </control>
          </mc:Choice>
        </mc:AlternateContent>
        <mc:AlternateContent xmlns:mc="http://schemas.openxmlformats.org/markup-compatibility/2006">
          <mc:Choice Requires="x14">
            <control shapeId="177165" r:id="rId8" name="Drop Down 13">
              <controlPr locked="0" defaultSize="0" autoFill="0" autoPict="0">
                <anchor moveWithCells="1">
                  <from>
                    <xdr:col>6</xdr:col>
                    <xdr:colOff>400050</xdr:colOff>
                    <xdr:row>20</xdr:row>
                    <xdr:rowOff>76200</xdr:rowOff>
                  </from>
                  <to>
                    <xdr:col>6</xdr:col>
                    <xdr:colOff>1638300</xdr:colOff>
                    <xdr:row>20</xdr:row>
                    <xdr:rowOff>304800</xdr:rowOff>
                  </to>
                </anchor>
              </controlPr>
            </control>
          </mc:Choice>
        </mc:AlternateContent>
        <mc:AlternateContent xmlns:mc="http://schemas.openxmlformats.org/markup-compatibility/2006">
          <mc:Choice Requires="x14">
            <control shapeId="177166" r:id="rId9" name="Drop Down 14">
              <controlPr locked="0" defaultSize="0" autoFill="0" autoPict="0">
                <anchor moveWithCells="1">
                  <from>
                    <xdr:col>6</xdr:col>
                    <xdr:colOff>400050</xdr:colOff>
                    <xdr:row>23</xdr:row>
                    <xdr:rowOff>76200</xdr:rowOff>
                  </from>
                  <to>
                    <xdr:col>6</xdr:col>
                    <xdr:colOff>1638300</xdr:colOff>
                    <xdr:row>23</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17BC9682E1E4883F171C6F4CAE1E1" ma:contentTypeVersion="12" ma:contentTypeDescription="Create a new document." ma:contentTypeScope="" ma:versionID="d0e5a54c02fe12984298d36c1a38f307">
  <xsd:schema xmlns:xsd="http://www.w3.org/2001/XMLSchema" xmlns:xs="http://www.w3.org/2001/XMLSchema" xmlns:p="http://schemas.microsoft.com/office/2006/metadata/properties" xmlns:ns2="55dffd3b-8816-40f4-a6e1-f221333b3a84" xmlns:ns3="c3e2fce7-69bd-406d-9d97-5be86120755d" targetNamespace="http://schemas.microsoft.com/office/2006/metadata/properties" ma:root="true" ma:fieldsID="79f1eff1a778c313e4fff8d7dc0df858" ns2:_="" ns3:_="">
    <xsd:import namespace="55dffd3b-8816-40f4-a6e1-f221333b3a84"/>
    <xsd:import namespace="c3e2fce7-69bd-406d-9d97-5be8612075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ffd3b-8816-40f4-a6e1-f221333b3a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2fce7-69bd-406d-9d97-5be86120755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ED2470-9488-4B56-9501-A153F6DDE06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E4ED29-2F82-432F-8A33-6F2D95B16F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dffd3b-8816-40f4-a6e1-f221333b3a84"/>
    <ds:schemaRef ds:uri="c3e2fce7-69bd-406d-9d97-5be8612075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EEB599-9C12-40DF-B147-5D82C3240F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38</vt:i4>
      </vt:variant>
    </vt:vector>
  </HeadingPairs>
  <TitlesOfParts>
    <vt:vector size="50" baseType="lpstr">
      <vt:lpstr>Introduction</vt:lpstr>
      <vt:lpstr>Guidelines</vt:lpstr>
      <vt:lpstr>Profile and Scope</vt:lpstr>
      <vt:lpstr>Targets</vt:lpstr>
      <vt:lpstr>Weightings</vt:lpstr>
      <vt:lpstr>Aggregated Results</vt:lpstr>
      <vt:lpstr>Assess A</vt:lpstr>
      <vt:lpstr>Assess B</vt:lpstr>
      <vt:lpstr>Assess C</vt:lpstr>
      <vt:lpstr>Results A</vt:lpstr>
      <vt:lpstr>Results B</vt:lpstr>
      <vt:lpstr>Results C</vt:lpstr>
      <vt:lpstr>Content_Headings</vt:lpstr>
      <vt:lpstr>contentref</vt:lpstr>
      <vt:lpstr>contentrefmockup</vt:lpstr>
      <vt:lpstr>detail_maturity_score</vt:lpstr>
      <vt:lpstr>level_ref</vt:lpstr>
      <vt:lpstr>maturity_response_frame</vt:lpstr>
      <vt:lpstr>MaturityLevelsTable</vt:lpstr>
      <vt:lpstr>'Aggregated Results'!Print_Area</vt:lpstr>
      <vt:lpstr>'Assess A'!Print_Area</vt:lpstr>
      <vt:lpstr>'Assess B'!Print_Area</vt:lpstr>
      <vt:lpstr>'Assess C'!Print_Area</vt:lpstr>
      <vt:lpstr>Guidelines!Print_Area</vt:lpstr>
      <vt:lpstr>Introduction!Print_Area</vt:lpstr>
      <vt:lpstr>'Profile and Scope'!Print_Area</vt:lpstr>
      <vt:lpstr>'Results A'!Print_Area</vt:lpstr>
      <vt:lpstr>'Results B'!Print_Area</vt:lpstr>
      <vt:lpstr>'Results C'!Print_Area</vt:lpstr>
      <vt:lpstr>Targets!Print_Area</vt:lpstr>
      <vt:lpstr>Weightings!Print_Area</vt:lpstr>
      <vt:lpstr>profile_business_unit</vt:lpstr>
      <vt:lpstr>profile_date_of_assessment</vt:lpstr>
      <vt:lpstr>profile_internal_pt_coordinator</vt:lpstr>
      <vt:lpstr>profile_name_of_organisation</vt:lpstr>
      <vt:lpstr>profile_pt_coordinator_role_or_position</vt:lpstr>
      <vt:lpstr>profile_sector</vt:lpstr>
      <vt:lpstr>profile_size_of_business</vt:lpstr>
      <vt:lpstr>profile_type_of_business</vt:lpstr>
      <vt:lpstr>Results_A_Reference</vt:lpstr>
      <vt:lpstr>Results_B_Reference</vt:lpstr>
      <vt:lpstr>Results_C_Reference</vt:lpstr>
      <vt:lpstr>sector_responses</vt:lpstr>
      <vt:lpstr>size_of_business_responses</vt:lpstr>
      <vt:lpstr>targets_lookup</vt:lpstr>
      <vt:lpstr>textref</vt:lpstr>
      <vt:lpstr>Tool_Name</vt:lpstr>
      <vt:lpstr>type_of_business_responses</vt:lpstr>
      <vt:lpstr>weighting_response_reverse</vt:lpstr>
      <vt:lpstr>weighting_responses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Jones</dc:creator>
  <cp:lastModifiedBy>Steve</cp:lastModifiedBy>
  <cp:lastPrinted>2014-05-21T13:24:25Z</cp:lastPrinted>
  <dcterms:created xsi:type="dcterms:W3CDTF">2013-12-31T13:54:42Z</dcterms:created>
  <dcterms:modified xsi:type="dcterms:W3CDTF">2021-06-21T18:24:11Z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v3.3</vt:lpwstr>
  </property>
  <property fmtid="{D5CDD505-2E9C-101B-9397-08002B2CF9AE}" pid="3" name="ContentTypeId">
    <vt:lpwstr>0x010100E6717BC9682E1E4883F171C6F4CAE1E1</vt:lpwstr>
  </property>
</Properties>
</file>